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2.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1" activeTab="3"/>
  </bookViews>
  <sheets>
    <sheet name="Quick Guide" sheetId="1" state="hidden" r:id="rId2"/>
    <sheet name="Parameters" sheetId="2" state="visible" r:id="rId3"/>
    <sheet name="Cash Flow" sheetId="3" state="visible" r:id="rId4"/>
    <sheet name="Funding" sheetId="4" state="visible" r:id="rId5"/>
    <sheet name="Balance Sheet" sheetId="5" state="visible" r:id="rId6"/>
    <sheet name="Results" sheetId="6" state="visible" r:id="rId7"/>
    <sheet name="Summary" sheetId="7" state="visible" r:id="rId8"/>
    <sheet name="Levelised Tariff" sheetId="8" state="visible" r:id="rId9"/>
  </sheets>
  <definedNames>
    <definedName function="false" hidden="false" localSheetId="5" name="_xlnm.Print_Area" vbProcedure="false">Results!$A$1:$R$68</definedName>
    <definedName function="false" hidden="false" localSheetId="6" name="_xlnm.Print_Area" vbProcedure="false">Summary!$A$44:$AH$48</definedName>
    <definedName function="false" hidden="false" name="Actual_Leverage" vbProcedure="false">Funding!$H$17</definedName>
    <definedName function="false" hidden="false" name="Annual_Energy" vbProcedure="false">Parameters!$T$19</definedName>
    <definedName function="false" hidden="false" name="annual_irradiation" vbProcedure="false">Parameters!$I$14</definedName>
    <definedName function="false" hidden="false" name="Bank_as_SH_Loan" vbProcedure="false">Parameters!$I$107</definedName>
    <definedName function="false" hidden="false" name="Bank_Fees" vbProcedure="false">Parameters!$T$115</definedName>
    <definedName function="false" hidden="false" name="Bank_Loan_Interest_Total" vbProcedure="false">Funding!$G$74</definedName>
    <definedName function="false" hidden="false" name="Bank_Loan_Interest_Value" vbProcedure="false">Funding!$G$258</definedName>
    <definedName function="false" hidden="false" name="Bank_Principal" vbProcedure="false">Funding!$G$69</definedName>
    <definedName function="false" hidden="false" name="Bank_Rate" vbProcedure="false">Parameters!$I$101</definedName>
    <definedName function="false" hidden="false" name="Bank_Tenor" vbProcedure="false">Parameters!$I$104</definedName>
    <definedName function="false" hidden="false" name="Bank_Terms" vbProcedure="false">Parameters!$I$100</definedName>
    <definedName function="false" hidden="false" name="Bridge_Equity_share" vbProcedure="false">Parameters!$I$131</definedName>
    <definedName function="false" hidden="false" name="Bridge_Equity_value" vbProcedure="false">Parameters!$T$131</definedName>
    <definedName function="false" hidden="false" name="Bridge_Loan_Rate" vbProcedure="false">Parameters!$I$147</definedName>
    <definedName function="false" hidden="false" name="Bridge_Loan_Tenor" vbProcedure="false">Parameters!$I$149</definedName>
    <definedName function="false" hidden="false" name="Bridge_Loan_Terms" vbProcedure="false">Parameters!$I$146</definedName>
    <definedName function="false" hidden="false" name="Bridge_min_FCF" vbProcedure="false">Parameters!$I$148</definedName>
    <definedName function="false" hidden="false" name="Capacity" vbProcedure="false">Parameters!$I$11</definedName>
    <definedName function="false" hidden="false" name="Capacity_Factor" vbProcedure="false">Parameters!$T$21</definedName>
    <definedName function="false" hidden="false" name="cap_decrease_legal" vbProcedure="false">Parameters!$I$93</definedName>
    <definedName function="false" hidden="false" name="CF_priority" vbProcedure="false">Parameters!$I$94</definedName>
    <definedName function="false" hidden="false" name="Degradation" vbProcedure="false">Parameters!$I$24</definedName>
    <definedName function="false" hidden="false" name="Depr_duration" vbProcedure="false">Parameters!$I$83</definedName>
    <definedName function="false" hidden="false" name="Developer_Fee" vbProcedure="false">Parameters!$I$51</definedName>
    <definedName function="false" hidden="false" name="dev_fee_bank_paid?" vbProcedure="false">Parameters!$I$52</definedName>
    <definedName function="false" hidden="false" name="Dev_Period" vbProcedure="false">Parameters!$T$75</definedName>
    <definedName function="false" hidden="false" name="Dev_premium_after_COD" vbProcedure="false">Parameters!$I$56</definedName>
    <definedName function="false" hidden="false" name="Dev_premium_before_COD" vbProcedure="false">Parameters!$I$55</definedName>
    <definedName function="false" hidden="false" name="DSCR" vbProcedure="false">Parameters!$I$106</definedName>
    <definedName function="false" hidden="false" name="DSRA_GoalSeek" vbProcedure="false">Funding!$G$86</definedName>
    <definedName function="false" hidden="false" name="DSRA_Provision" vbProcedure="false">Parameters!$I$105</definedName>
    <definedName function="false" hidden="false" name="EPC_Cost" vbProcedure="false">Parameters!$I$40</definedName>
    <definedName function="false" hidden="false" name="Equity_Leverage" vbProcedure="false">Parameters!$I$139</definedName>
    <definedName function="false" hidden="false" name="Equity_Loan_Interest_Total" vbProcedure="false">Funding!$G$130</definedName>
    <definedName function="false" hidden="false" name="Equity_Loan_Interest_Value" vbProcedure="false">Funding!$G$274</definedName>
    <definedName function="false" hidden="false" name="Equity_Loan_Rate" vbProcedure="false">Parameters!$I$140</definedName>
    <definedName function="false" hidden="false" name="Equity_Loan_Tenor" vbProcedure="false">Parameters!$I$142</definedName>
    <definedName function="false" hidden="false" name="Equity_Loan_Terms" vbProcedure="false">Parameters!$I$141</definedName>
    <definedName function="false" hidden="false" name="Equity_stepdown" vbProcedure="false">Parameters!$I$134</definedName>
    <definedName function="false" hidden="false" name="Equity_stepdown_duration" vbProcedure="false">Parameters!$I$135</definedName>
    <definedName function="false" hidden="false" name="First_Tariff" vbProcedure="false">Parameters!$T$29</definedName>
    <definedName function="false" hidden="false" name="free_minority_equity" vbProcedure="false">parameters!#REF!</definedName>
    <definedName function="false" hidden="false" name="Hard_CAPEX" vbProcedure="false">Parameters!$T$45</definedName>
    <definedName function="false" hidden="false" name="Income_Tax" vbProcedure="false">Parameters!$I$87</definedName>
    <definedName function="false" hidden="false" name="Initial_DSRA" vbProcedure="false">Funding!$G$85</definedName>
    <definedName function="false" hidden="false" name="Initial_DSRA_Value" vbProcedure="false">Funding!$G$38</definedName>
    <definedName function="false" hidden="false" name="initial_OM" vbProcedure="false">Parameters!$T$59</definedName>
    <definedName function="false" hidden="false" name="Initial_WC" vbProcedure="false">Funding!$G$37</definedName>
    <definedName function="false" hidden="false" name="IRR_GoalSeek" vbProcedure="false">Parameters!$T$36</definedName>
    <definedName function="false" hidden="false" name="Land_Area" vbProcedure="false">Parameters!$I$33</definedName>
    <definedName function="false" hidden="false" name="Land_as_equity_pct" vbProcedure="false">Parameters!$I$132</definedName>
    <definedName function="false" hidden="false" name="Land_Payment" vbProcedure="false">Parameters!$T$37</definedName>
    <definedName function="false" hidden="false" name="Land_per_hectare" vbProcedure="false">Parameters!$I$35</definedName>
    <definedName function="false" hidden="false" name="Land_value" vbProcedure="false">Parameters!$T$132</definedName>
    <definedName function="false" hidden="false" name="Levelised_Tariff" vbProcedure="false">Parameters!$I$28</definedName>
    <definedName function="false" hidden="false" name="Leverage" vbProcedure="false">Parameters!$I$102</definedName>
    <definedName function="false" hidden="false" name="Leverage_GoalSeek" vbProcedure="false">Parameters!$T$103</definedName>
    <definedName function="false" hidden="false" name="Mezz_Loan_Grace" vbProcedure="false">Parameters!$I$143</definedName>
    <definedName function="false" hidden="false" name="Mezz_Loan_Type" vbProcedure="false">Parameters!$I$138</definedName>
    <definedName function="false" hidden="false" name="MIGA_Admin_Fee" vbProcedure="false">Parameters!$I$125</definedName>
    <definedName function="false" hidden="false" name="MIGA_Capital_Covered" vbProcedure="false">Parameters!$I$121</definedName>
    <definedName function="false" hidden="false" name="MIGA_Copy_Values" vbProcedure="false">Funding!$I$247:$AL$247</definedName>
    <definedName function="false" hidden="false" name="MIGA_Coverage" vbProcedure="false">Parameters!$I$120</definedName>
    <definedName function="false" hidden="false" name="MIGA_Current_Premium" vbProcedure="false">Parameters!$I$119</definedName>
    <definedName function="false" hidden="false" name="MIGA_Paste_Values" vbProcedure="false">Funding!$I$36:$AL$36</definedName>
    <definedName function="false" hidden="false" name="MIGA_Standby_Pct" vbProcedure="false">Parameters!$I$122</definedName>
    <definedName function="false" hidden="false" name="MIGA_Standby_Rate" vbProcedure="false">Parameters!$T$123</definedName>
    <definedName function="false" hidden="false" name="MIGA_Switch" vbProcedure="false">Parameters!$I$118</definedName>
    <definedName function="false" hidden="false" name="Minority_Equity_value_excl_bridge" vbProcedure="false">Parameters!$T$130</definedName>
    <definedName function="false" hidden="false" name="Minority_pct_excl_bridge" vbProcedure="false">Parameters!$I$130</definedName>
    <definedName function="false" hidden="false" name="Minority_share" vbProcedure="false">Parameters!$I$129</definedName>
    <definedName function="false" hidden="false" name="Minority_shares_total_value" vbProcedure="false">Funding!$G$51</definedName>
    <definedName function="false" hidden="false" name="Min_cap_decrease" vbProcedure="false">Parameters!$I$97</definedName>
    <definedName function="false" hidden="false" name="MRA" vbProcedure="false">Parameters!$I$65</definedName>
    <definedName function="false" hidden="false" name="OPEX_Inflation" vbProcedure="false">Parameters!$I$68</definedName>
    <definedName function="false" hidden="false" name="Other_Devt_Costs" vbProcedure="false">Parameters!$T$50</definedName>
    <definedName function="false" hidden="false" name="Panel_area" vbProcedure="false">Parameters!$I$12</definedName>
    <definedName function="false" hidden="false" name="Panel_yield" vbProcedure="false">Parameters!$I$13</definedName>
    <definedName function="false" hidden="false" name="Paste_Results_1" vbProcedure="false">Results!$J$8:$J$67</definedName>
    <definedName function="false" hidden="false" name="Paste_Results_2" vbProcedure="false">Results!$K$8:$K$67</definedName>
    <definedName function="false" hidden="false" name="Paste_Results_3" vbProcedure="false">Results!$L$8:$L$67</definedName>
    <definedName function="false" hidden="false" name="Paste_Results_4" vbProcedure="false">Results!$M$8:$M$67</definedName>
    <definedName function="false" hidden="false" name="Paste_Results_5" vbProcedure="false">Results!$N$8:$N$67</definedName>
    <definedName function="false" hidden="false" name="Paste_Results_6" vbProcedure="false">Results!$O$8:$O$67</definedName>
    <definedName function="false" hidden="false" name="Paste_Results_7" vbProcedure="false">Results!$P$8:$P$67</definedName>
    <definedName function="false" hidden="false" name="Paste_Results_8" vbProcedure="false">Results!$Q$8:$Q$67</definedName>
    <definedName function="false" hidden="false" name="Payable_days" vbProcedure="false">Parameters!$I$63</definedName>
    <definedName function="false" hidden="false" name="PPA_duration" vbProcedure="false">Parameters!$I$76</definedName>
    <definedName function="false" hidden="false" name="PR" vbProcedure="false">Parameters!$I$15</definedName>
    <definedName function="false" hidden="false" name="Receivable_days" vbProcedure="false">Parameters!$I$64</definedName>
    <definedName function="false" hidden="false" name="Results" vbProcedure="false">Results!$G$8:$G$67</definedName>
    <definedName function="false" hidden="false" name="Scen_Select" vbProcedure="false">Parameters!$F$6</definedName>
    <definedName function="false" hidden="false" name="Start_Date" vbProcedure="false">Parameters!$I$77</definedName>
    <definedName function="false" hidden="false" name="Target_Leverage" vbProcedure="false">Parameters!$I$103</definedName>
    <definedName function="false" hidden="false" name="Tariff_Discount" vbProcedure="false">Parameters!$I$27</definedName>
    <definedName function="false" hidden="false" name="Tariff_Escalation" vbProcedure="false">Parameters!$I$30</definedName>
    <definedName function="false" hidden="false" name="Tariff_Structure" vbProcedure="false">parameters!#REF!</definedName>
    <definedName function="false" hidden="false" name="Tax_Holiday_Period" vbProcedure="false">Parameters!$I$88</definedName>
    <definedName function="false" hidden="false" name="Tax_loss" vbProcedure="false">Parameters!$I$92</definedName>
    <definedName function="false" hidden="false" name="Thin_Cap_Ratio" vbProcedure="false">Parameters!$I$96</definedName>
    <definedName function="false" hidden="false" name="Thin_cap_rule" vbProcedure="false">Parameters!$I$95</definedName>
    <definedName function="false" hidden="false" name="TL_Losses" vbProcedure="false">Parameters!$I$16</definedName>
    <definedName function="false" hidden="false" name="Total_Capital_Required" vbProcedure="false">Funding!$G$45</definedName>
    <definedName function="false" hidden="false" name="Total_IDC" vbProcedure="false">Funding!$G$67</definedName>
    <definedName function="false" hidden="false" name="Total_Project_Cost" vbProcedure="false">Funding!$G$53</definedName>
    <definedName function="false" hidden="false" name="Total_Secondary_Loan" vbProcedure="false">Funding!$G$18</definedName>
    <definedName function="false" hidden="false" name="Velcan_IRR" vbProcedure="false">'Cash Flow'!$G$130</definedName>
    <definedName function="false" hidden="false" name="Velcan_share" vbProcedure="false">Parameters!$I$128</definedName>
    <definedName function="false" hidden="false" name="Velcan_Target_IRR" vbProcedure="false">Parameters!$I$36</definedName>
    <definedName function="false" hidden="false" name="WHT_Dividends" vbProcedure="false">Parameters!$I$89</definedName>
    <definedName function="false" hidden="false" name="WHT_Dividends_Local" vbProcedure="false">Parameters!$I$91</definedName>
    <definedName function="false" hidden="false" name="WHT_Interest" vbProcedure="false">Parameters!$I$90</definedName>
    <definedName function="false" hidden="false" localSheetId="5" name="_xlnm.Print_Area" vbProcedure="false">Results!$A$1:$R$68</definedName>
    <definedName function="false" hidden="false" localSheetId="6" name="_xlnm.Print_Area" vbProcedure="false">Summary!$A$44:$AH$48</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s>
  <commentList>
    <comment ref="T110" authorId="0">
      <text>
        <r>
          <rPr>
            <b val="true"/>
            <sz val="9"/>
            <color rgb="FF000000"/>
            <rFont val="Tahoma"/>
            <family val="2"/>
            <charset val="1"/>
          </rPr>
          <t xml:space="preserve">Benny:
</t>
        </r>
        <r>
          <rPr>
            <sz val="9"/>
            <color rgb="FF000000"/>
            <rFont val="Tahoma"/>
            <family val="2"/>
            <charset val="1"/>
          </rPr>
          <t xml:space="preserve">7% of total loan amount is IDC + bank fees</t>
        </r>
      </text>
    </comment>
  </commentList>
</comments>
</file>

<file path=xl/sharedStrings.xml><?xml version="1.0" encoding="utf-8"?>
<sst xmlns="http://schemas.openxmlformats.org/spreadsheetml/2006/main" count="1237" uniqueCount="508">
  <si>
    <t xml:space="preserve">Name</t>
  </si>
  <si>
    <t xml:space="preserve">Location of Button / Cell:</t>
  </si>
  <si>
    <t xml:space="preserve">Description</t>
  </si>
  <si>
    <t xml:space="preserve">"Auto-Calculate" button</t>
  </si>
  <si>
    <t xml:space="preserve">Top left hand corner of every sheet</t>
  </si>
  <si>
    <t xml:space="preserve">Several macros have been written to ensure no circular references / iterative calculations are used to correctly calculate the results. Therefore, to calculate correctly, a button called "auto-calculate mode" is available in all sheets. Once this button is clicked, every modification made in the model will trigger the auto-calculation and yield the accurate results.</t>
  </si>
  <si>
    <t xml:space="preserve">"Click to disable auto-calculate" button</t>
  </si>
  <si>
    <t xml:space="preserve">However, such auto-calculations will slow down the PC and it will not be practical to leave this mode on if a lot of edits are required. Therefore, please click on this button to disable the auto-calculate temporarily, make the desired edits in parameters / formulas, and click on "Auto-Calculate" again to yield correct results. To ensure the model has calculated the latest changes, please press "F9" to calculate the workbook everytime the "Auto-Calculate" is turned on for the 1st time.</t>
  </si>
  <si>
    <t xml:space="preserve">Scenario Selection </t>
  </si>
  <si>
    <t xml:space="preserve">'Parameters' Sheet, cell F6</t>
  </si>
  <si>
    <t xml:space="preserve">IMPORTANT: Please pay attention to which scenario is currently selected, before making changes in the Parameters.</t>
  </si>
  <si>
    <t xml:space="preserve">Inputs / Parameters</t>
  </si>
  <si>
    <t xml:space="preserve">'Parameters' Sheet, columns K to R</t>
  </si>
  <si>
    <t xml:space="preserve">The model is structured such that scenario analysis can be conducted with ease. Therefore, if one desires to play with / modify parameters - without looking at other scenarios, please change Scenario Selection to "1" and change the inputs located in column "1" or column K. 
Alternatively, if one wishes to modify one or two inputs of a particular scenario, please change the Scenario Selection to the intended scenario number, and change the input column that corresponds with the selected Scenario.</t>
  </si>
  <si>
    <t xml:space="preserve">Inputs used based on Scenario Selection</t>
  </si>
  <si>
    <t xml:space="preserve">supplier SOLAR MODEL</t>
  </si>
  <si>
    <t xml:space="preserve">Scenarios</t>
  </si>
  <si>
    <t xml:space="preserve">25.01.2017</t>
  </si>
  <si>
    <t xml:space="preserve">customer GROUP</t>
  </si>
  <si>
    <t xml:space="preserve">Base Case</t>
  </si>
  <si>
    <t xml:space="preserve">Scenario Selected:</t>
  </si>
  <si>
    <t xml:space="preserve">Inputs used based on Selected Scen:</t>
  </si>
  <si>
    <t xml:space="preserve">Calculation</t>
  </si>
  <si>
    <t xml:space="preserve">Project Metrics</t>
  </si>
  <si>
    <t xml:space="preserve">20 MW</t>
  </si>
  <si>
    <t xml:space="preserve">22 MW</t>
  </si>
  <si>
    <t xml:space="preserve">Energy</t>
  </si>
  <si>
    <t xml:space="preserve">Capacity (DC)</t>
  </si>
  <si>
    <t xml:space="preserve">MWp</t>
  </si>
  <si>
    <t xml:space="preserve">P50</t>
  </si>
  <si>
    <t xml:space="preserve">Module Area</t>
  </si>
  <si>
    <t xml:space="preserve">m2</t>
  </si>
  <si>
    <t xml:space="preserve">P75</t>
  </si>
  <si>
    <t xml:space="preserve">Module Efficiency at Standard Temperature</t>
  </si>
  <si>
    <t xml:space="preserve">%</t>
  </si>
  <si>
    <t xml:space="preserve">P90</t>
  </si>
  <si>
    <t xml:space="preserve">Annual average solar radiation</t>
  </si>
  <si>
    <t xml:space="preserve">kWh/m2</t>
  </si>
  <si>
    <t xml:space="preserve">P95</t>
  </si>
  <si>
    <t xml:space="preserve">Performance Ratio</t>
  </si>
  <si>
    <t xml:space="preserve">P99</t>
  </si>
  <si>
    <t xml:space="preserve">Transmission Losses</t>
  </si>
  <si>
    <t xml:space="preserve">Energy yield variance</t>
  </si>
  <si>
    <t xml:space="preserve">Probability Selected</t>
  </si>
  <si>
    <t xml:space="preserve">list</t>
  </si>
  <si>
    <t xml:space="preserve">Energy Generation per year after TL losses</t>
  </si>
  <si>
    <t xml:space="preserve">kWh</t>
  </si>
  <si>
    <t xml:space="preserve">Energy Generation per year before TL losses</t>
  </si>
  <si>
    <t xml:space="preserve">Capacity Factor</t>
  </si>
  <si>
    <t xml:space="preserve">Specific Yield</t>
  </si>
  <si>
    <t xml:space="preserve">kWh/kWp</t>
  </si>
  <si>
    <t xml:space="preserve">AC Yield</t>
  </si>
  <si>
    <t xml:space="preserve">MW</t>
  </si>
  <si>
    <t xml:space="preserve">System degradation per year</t>
  </si>
  <si>
    <t xml:space="preserve">input</t>
  </si>
  <si>
    <t xml:space="preserve">output</t>
  </si>
  <si>
    <t xml:space="preserve">Tariff</t>
  </si>
  <si>
    <t xml:space="preserve">Discount Rate</t>
  </si>
  <si>
    <t xml:space="preserve">Levelised Tariff</t>
  </si>
  <si>
    <t xml:space="preserve">c USD/kWh</t>
  </si>
  <si>
    <t xml:space="preserve">fixed</t>
  </si>
  <si>
    <t xml:space="preserve">1st Year Tariff</t>
  </si>
  <si>
    <t xml:space="preserve">USD/kWh</t>
  </si>
  <si>
    <t xml:space="preserve">progressive</t>
  </si>
  <si>
    <t xml:space="preserve">Tariff escalation / de-escalation p.a.</t>
  </si>
  <si>
    <t xml:space="preserve">Land</t>
  </si>
  <si>
    <t xml:space="preserve">Land Area</t>
  </si>
  <si>
    <t xml:space="preserve">hectare</t>
  </si>
  <si>
    <t xml:space="preserve">Land payment</t>
  </si>
  <si>
    <t xml:space="preserve">USD / hectare</t>
  </si>
  <si>
    <t xml:space="preserve">supplier required RoE:</t>
  </si>
  <si>
    <t xml:space="preserve">Total Land Payment</t>
  </si>
  <si>
    <t xml:space="preserve">kUSD</t>
  </si>
  <si>
    <t xml:space="preserve">Hard Costs</t>
  </si>
  <si>
    <t xml:space="preserve">Construction / EPC Cost</t>
  </si>
  <si>
    <t xml:space="preserve">kUSD/MWp</t>
  </si>
  <si>
    <t xml:space="preserve">Transmission Line + grid connection</t>
  </si>
  <si>
    <t xml:space="preserve">Insurance</t>
  </si>
  <si>
    <t xml:space="preserve">Development Studies / Construction Supervision</t>
  </si>
  <si>
    <t xml:space="preserve">Contingencies</t>
  </si>
  <si>
    <t xml:space="preserve">% of EPC costs</t>
  </si>
  <si>
    <t xml:space="preserve">Total Hard Costs</t>
  </si>
  <si>
    <t xml:space="preserve">Other Development Costs paid by SPV</t>
  </si>
  <si>
    <t xml:space="preserve">Financial Close cash payment</t>
  </si>
  <si>
    <t xml:space="preserve">Post-COD cash payments</t>
  </si>
  <si>
    <t xml:space="preserve">Total other development costs</t>
  </si>
  <si>
    <t xml:space="preserve">Developer Bonus Fee</t>
  </si>
  <si>
    <t xml:space="preserve">Developer Fee financed by bank?</t>
  </si>
  <si>
    <t xml:space="preserve">boolean</t>
  </si>
  <si>
    <t xml:space="preserve">no</t>
  </si>
  <si>
    <t xml:space="preserve">Other development Costs paid by supplier</t>
  </si>
  <si>
    <t xml:space="preserve">Other costs before COD</t>
  </si>
  <si>
    <t xml:space="preserve">Other costs after COD</t>
  </si>
  <si>
    <t xml:space="preserve">Operating Costs</t>
  </si>
  <si>
    <t xml:space="preserve">O&amp;M per year (% of CAPEX)</t>
  </si>
  <si>
    <t xml:space="preserve">kUSD/MW</t>
  </si>
  <si>
    <t xml:space="preserve">Admin Cost per year</t>
  </si>
  <si>
    <t xml:space="preserve">Bank Fees</t>
  </si>
  <si>
    <t xml:space="preserve">Insurances</t>
  </si>
  <si>
    <t xml:space="preserve">Payable days</t>
  </si>
  <si>
    <t xml:space="preserve">days</t>
  </si>
  <si>
    <t xml:space="preserve">Receivable Days</t>
  </si>
  <si>
    <t xml:space="preserve">O&amp;M Reserve Account (months of Annual Revenue)</t>
  </si>
  <si>
    <t xml:space="preserve">months</t>
  </si>
  <si>
    <t xml:space="preserve">Indexation</t>
  </si>
  <si>
    <t xml:space="preserve">OPEX inflation p.a.</t>
  </si>
  <si>
    <t xml:space="preserve">Timing</t>
  </si>
  <si>
    <t xml:space="preserve">Total</t>
  </si>
  <si>
    <t xml:space="preserve">% expense incurred in:</t>
  </si>
  <si>
    <t xml:space="preserve">Development + Construction duration</t>
  </si>
  <si>
    <t xml:space="preserve">years</t>
  </si>
  <si>
    <t xml:space="preserve">Contract Duration</t>
  </si>
  <si>
    <t xml:space="preserve">Start Date</t>
  </si>
  <si>
    <t xml:space="preserve">date</t>
  </si>
  <si>
    <t xml:space="preserve">Fiscal Parameters</t>
  </si>
  <si>
    <t xml:space="preserve">Depreciation</t>
  </si>
  <si>
    <t xml:space="preserve">No. of years</t>
  </si>
  <si>
    <t xml:space="preserve">Method</t>
  </si>
  <si>
    <t xml:space="preserve">Tax</t>
  </si>
  <si>
    <t xml:space="preserve">Income Tax Rate</t>
  </si>
  <si>
    <t xml:space="preserve">Tax Holiday period</t>
  </si>
  <si>
    <t xml:space="preserve">WHT on Dividends</t>
  </si>
  <si>
    <t xml:space="preserve">WHT on Interests</t>
  </si>
  <si>
    <t xml:space="preserve">WHT on Dividends, for Local Companies</t>
  </si>
  <si>
    <t xml:space="preserve">Tax loss carry forward</t>
  </si>
  <si>
    <t xml:space="preserve">Capital Decrease Legal?</t>
  </si>
  <si>
    <t xml:space="preserve">yes</t>
  </si>
  <si>
    <t xml:space="preserve">Cash flow priority</t>
  </si>
  <si>
    <t xml:space="preserve">dividends</t>
  </si>
  <si>
    <t xml:space="preserve">cap decrease</t>
  </si>
  <si>
    <t xml:space="preserve">Thin Capitalization Rule</t>
  </si>
  <si>
    <t xml:space="preserve">Thin Capitalization Ratio</t>
  </si>
  <si>
    <t xml:space="preserve">ratio (X to 1)</t>
  </si>
  <si>
    <t xml:space="preserve">Minimum Equity Capital</t>
  </si>
  <si>
    <t xml:space="preserve">Financing Terms</t>
  </si>
  <si>
    <t xml:space="preserve">Repayment Terms</t>
  </si>
  <si>
    <t xml:space="preserve">amortization</t>
  </si>
  <si>
    <t xml:space="preserve">DSCR</t>
  </si>
  <si>
    <t xml:space="preserve">Bank Interest Rate</t>
  </si>
  <si>
    <t xml:space="preserve">fixed principal</t>
  </si>
  <si>
    <t xml:space="preserve">Bank Leverage</t>
  </si>
  <si>
    <t xml:space="preserve">Target Final Bank Leverage</t>
  </si>
  <si>
    <t xml:space="preserve">Loan Tenor (after COD)</t>
  </si>
  <si>
    <t xml:space="preserve">DSRA</t>
  </si>
  <si>
    <t xml:space="preserve">Minimum DSCR</t>
  </si>
  <si>
    <t xml:space="preserve">ratio</t>
  </si>
  <si>
    <t xml:space="preserve">Full equity financing + shareholder loan?</t>
  </si>
  <si>
    <t xml:space="preserve">Arranging Fee (% of loan)</t>
  </si>
  <si>
    <t xml:space="preserve">Lawyer fees (PPA, Bank Lawyers' fees)</t>
  </si>
  <si>
    <t xml:space="preserve">Environmental &amp; Grid Studies</t>
  </si>
  <si>
    <t xml:space="preserve">Lender's Engineer</t>
  </si>
  <si>
    <t xml:space="preserve">Other Devt. Fees</t>
  </si>
  <si>
    <t xml:space="preserve">Total bank-related fees</t>
  </si>
  <si>
    <t xml:space="preserve">MIGA</t>
  </si>
  <si>
    <t xml:space="preserve">MIGA Coverage</t>
  </si>
  <si>
    <t xml:space="preserve">MIGA Annual Premium Rate</t>
  </si>
  <si>
    <t xml:space="preserve">Percentage of Cover</t>
  </si>
  <si>
    <t xml:space="preserve">debt only</t>
  </si>
  <si>
    <t xml:space="preserve">Portion of Capital Covered</t>
  </si>
  <si>
    <t xml:space="preserve">equity only</t>
  </si>
  <si>
    <t xml:space="preserve">debt+equity</t>
  </si>
  <si>
    <t xml:space="preserve">Annual Standby Option Fee Percentage</t>
  </si>
  <si>
    <t xml:space="preserve">Annual Standby Option Fee Rate</t>
  </si>
  <si>
    <t xml:space="preserve">MIGA Admin, Facility and Arrangement Fee</t>
  </si>
  <si>
    <t xml:space="preserve">Equity Capital Structure</t>
  </si>
  <si>
    <t xml:space="preserve">supplier</t>
  </si>
  <si>
    <t xml:space="preserve">Minority Shareholders</t>
  </si>
  <si>
    <t xml:space="preserve">Minority Shareholders' total contribution</t>
  </si>
  <si>
    <t xml:space="preserve">Bridge Loan pct for Minority Shareholders</t>
  </si>
  <si>
    <t xml:space="preserve">Minority Shareholders' land contribution</t>
  </si>
  <si>
    <t xml:space="preserve">Minority Shareholders' equity contribution</t>
  </si>
  <si>
    <t xml:space="preserve">Equity Step-down</t>
  </si>
  <si>
    <t xml:space="preserve">Duration before Equity Step-down</t>
  </si>
  <si>
    <t xml:space="preserve">Mezzanine Loan Terms</t>
  </si>
  <si>
    <t xml:space="preserve">Secondary Loan Type</t>
  </si>
  <si>
    <t xml:space="preserve">shareholder</t>
  </si>
  <si>
    <t xml:space="preserve">bank</t>
  </si>
  <si>
    <t xml:space="preserve">Shareholder Loan</t>
  </si>
  <si>
    <t xml:space="preserve">of total capital</t>
  </si>
  <si>
    <t xml:space="preserve">Shareholder Loan Interest Rate</t>
  </si>
  <si>
    <t xml:space="preserve">Shareholder Loan Tenor (if amortization)</t>
  </si>
  <si>
    <t xml:space="preserve">ASAP</t>
  </si>
  <si>
    <t xml:space="preserve">Grace Period (if amortization)</t>
  </si>
  <si>
    <t xml:space="preserve">Bridging Loan for Minority Shareholders</t>
  </si>
  <si>
    <t xml:space="preserve">Bridge Equity Loan Interest Rate</t>
  </si>
  <si>
    <t xml:space="preserve">Minimum FCF distributed (if ASAP)</t>
  </si>
  <si>
    <t xml:space="preserve">Bridge Equity Loan Tenor (if amortization)</t>
  </si>
  <si>
    <t xml:space="preserve">supplier IRR per scenario</t>
  </si>
  <si>
    <t xml:space="preserve">Period</t>
  </si>
  <si>
    <t xml:space="preserve">End Date</t>
  </si>
  <si>
    <t xml:space="preserve">No. of Days</t>
  </si>
  <si>
    <t xml:space="preserve">Development / Construction Period Indicator</t>
  </si>
  <si>
    <t xml:space="preserve">flag</t>
  </si>
  <si>
    <t xml:space="preserve">Operations Period Indicator</t>
  </si>
  <si>
    <t xml:space="preserve">Operations Period Year</t>
  </si>
  <si>
    <t xml:space="preserve">year</t>
  </si>
  <si>
    <t xml:space="preserve">End of Construction Period Indicator</t>
  </si>
  <si>
    <t xml:space="preserve">OPEX Inflation</t>
  </si>
  <si>
    <t xml:space="preserve">index</t>
  </si>
  <si>
    <t xml:space="preserve">Tariff Escalation / De-Escalation</t>
  </si>
  <si>
    <t xml:space="preserve">Tariff discount rate</t>
  </si>
  <si>
    <t xml:space="preserve">Tariff Escalation / De-Escalation over discount rate</t>
  </si>
  <si>
    <t xml:space="preserve">End of Operations Indicator</t>
  </si>
  <si>
    <t xml:space="preserve">Income Statement</t>
  </si>
  <si>
    <t xml:space="preserve">Profit Before Tax</t>
  </si>
  <si>
    <t xml:space="preserve">Energy Produced</t>
  </si>
  <si>
    <t xml:space="preserve">PPA Tariff</t>
  </si>
  <si>
    <t xml:space="preserve">Revenue</t>
  </si>
  <si>
    <t xml:space="preserve">O&amp;M</t>
  </si>
  <si>
    <t xml:space="preserve">Admin Cost</t>
  </si>
  <si>
    <t xml:space="preserve">Total OPEX</t>
  </si>
  <si>
    <t xml:space="preserve">EBITDA</t>
  </si>
  <si>
    <t xml:space="preserve">MIGA Premium Expense</t>
  </si>
  <si>
    <t xml:space="preserve">Interest Expense</t>
  </si>
  <si>
    <t xml:space="preserve">Income Tax Calculations</t>
  </si>
  <si>
    <t xml:space="preserve">Tax-deductible interest</t>
  </si>
  <si>
    <t xml:space="preserve">Nominal Profit Before Tax for income tax calc</t>
  </si>
  <si>
    <t xml:space="preserve">Tax loss carry forward used</t>
  </si>
  <si>
    <t xml:space="preserve">Taxable Income</t>
  </si>
  <si>
    <t xml:space="preserve">Income Tax</t>
  </si>
  <si>
    <t xml:space="preserve">Profit After Tax</t>
  </si>
  <si>
    <t xml:space="preserve">Cashflow Waterfall</t>
  </si>
  <si>
    <t xml:space="preserve">Opening Cash</t>
  </si>
  <si>
    <t xml:space="preserve">Cash flow from Operations</t>
  </si>
  <si>
    <t xml:space="preserve">Changes in Working Capital</t>
  </si>
  <si>
    <t xml:space="preserve">Cash Flow from Operations</t>
  </si>
  <si>
    <t xml:space="preserve">Cash flow from Investing Activities</t>
  </si>
  <si>
    <t xml:space="preserve">Total Hard Cost CAPEX</t>
  </si>
  <si>
    <t xml:space="preserve">1st year Working Capital</t>
  </si>
  <si>
    <t xml:space="preserve">MRA</t>
  </si>
  <si>
    <t xml:space="preserve">Financing Charges</t>
  </si>
  <si>
    <t xml:space="preserve">Land Payment</t>
  </si>
  <si>
    <t xml:space="preserve">IDC</t>
  </si>
  <si>
    <t xml:space="preserve">WHT on IDC</t>
  </si>
  <si>
    <t xml:space="preserve">Land as Equity</t>
  </si>
  <si>
    <t xml:space="preserve">Non-Leveraged Development Fee</t>
  </si>
  <si>
    <t xml:space="preserve">Inverter Replacement (to be developed)</t>
  </si>
  <si>
    <t xml:space="preserve">Cash Flow from Investing</t>
  </si>
  <si>
    <t xml:space="preserve">Cash flow from Financing Activities</t>
  </si>
  <si>
    <t xml:space="preserve">Senior debt financing</t>
  </si>
  <si>
    <t xml:space="preserve">Junior debt financing</t>
  </si>
  <si>
    <t xml:space="preserve">supplier Capital Increase</t>
  </si>
  <si>
    <t xml:space="preserve">Minority Shareholders' Land + Equity</t>
  </si>
  <si>
    <t xml:space="preserve">Minority Shareholders' Bridged Capital Increase</t>
  </si>
  <si>
    <t xml:space="preserve">Cash inflow from financiers</t>
  </si>
  <si>
    <t xml:space="preserve">Cash available for senior debt service</t>
  </si>
  <si>
    <t xml:space="preserve">Bank Loan Principal Repayment</t>
  </si>
  <si>
    <t xml:space="preserve">Bank Loan Interest Payment</t>
  </si>
  <si>
    <t xml:space="preserve">DSRA Release</t>
  </si>
  <si>
    <t xml:space="preserve">MRA Release</t>
  </si>
  <si>
    <t xml:space="preserve">Cash available for junior debt service</t>
  </si>
  <si>
    <t xml:space="preserve">Check</t>
  </si>
  <si>
    <t xml:space="preserve">Cashflow for Shareholders</t>
  </si>
  <si>
    <t xml:space="preserve">Shareholder Loan Repayment</t>
  </si>
  <si>
    <t xml:space="preserve">Outstanding cash at end of contract period</t>
  </si>
  <si>
    <t xml:space="preserve">Cash available for Shareholders</t>
  </si>
  <si>
    <t xml:space="preserve">Constraints:</t>
  </si>
  <si>
    <t xml:space="preserve">Max. Capital Decrease</t>
  </si>
  <si>
    <t xml:space="preserve">Max. Dividend Distribution</t>
  </si>
  <si>
    <t xml:space="preserve">Capital Decrease</t>
  </si>
  <si>
    <t xml:space="preserve">Cash available for Dividend Distribution</t>
  </si>
  <si>
    <t xml:space="preserve">Dividends</t>
  </si>
  <si>
    <t xml:space="preserve">Ending Cash</t>
  </si>
  <si>
    <t xml:space="preserve">Cashflow for supplier</t>
  </si>
  <si>
    <t xml:space="preserve">Less: Shareholder Loan Injection</t>
  </si>
  <si>
    <t xml:space="preserve">Less: supplier Equity Injection</t>
  </si>
  <si>
    <t xml:space="preserve">Less: Bridge Equity Loan Injection</t>
  </si>
  <si>
    <t xml:space="preserve">Less: Direct payment to dvpt team by supplier</t>
  </si>
  <si>
    <t xml:space="preserve">Developer Fee</t>
  </si>
  <si>
    <t xml:space="preserve">Shareholder Loan Principal Repayment</t>
  </si>
  <si>
    <t xml:space="preserve">Shareholder Loan Interest Payment</t>
  </si>
  <si>
    <t xml:space="preserve">Less: WHT on interests</t>
  </si>
  <si>
    <t xml:space="preserve">Bridge Equity Loan Principal Repayment</t>
  </si>
  <si>
    <t xml:space="preserve">Bridge Equity Loan Interest Payment</t>
  </si>
  <si>
    <t xml:space="preserve">Less: WHT on dividends</t>
  </si>
  <si>
    <t xml:space="preserve">Total Free Cash Flow</t>
  </si>
  <si>
    <t xml:space="preserve">supplier cash flow, including SH loan </t>
  </si>
  <si>
    <t xml:space="preserve">Total equity FCF before WHT, full 100% equity</t>
  </si>
  <si>
    <t xml:space="preserve">supplier IRR</t>
  </si>
  <si>
    <t xml:space="preserve">Minority Shareholders' (M.S.) Cash Flows</t>
  </si>
  <si>
    <t xml:space="preserve">Cash from Capital Decrease</t>
  </si>
  <si>
    <t xml:space="preserve">Cash from Dividends</t>
  </si>
  <si>
    <t xml:space="preserve">Less: Bridge Equity Loan Principal Repayment</t>
  </si>
  <si>
    <t xml:space="preserve">Less: Bridge Equity Loan Interest Payment</t>
  </si>
  <si>
    <t xml:space="preserve">Less: WHT on Dividends</t>
  </si>
  <si>
    <t xml:space="preserve">Total Cash Received</t>
  </si>
  <si>
    <t xml:space="preserve">Minority shareholders' land value</t>
  </si>
  <si>
    <t xml:space="preserve">Minority Shareholders' IRR</t>
  </si>
  <si>
    <t xml:space="preserve">FCF before WHT </t>
  </si>
  <si>
    <t xml:space="preserve">Minority partner total CF, after bridge repayment</t>
  </si>
  <si>
    <t xml:space="preserve">Minority partner total CF, before bridge repayment</t>
  </si>
  <si>
    <t xml:space="preserve">supplier total cash flow</t>
  </si>
  <si>
    <t xml:space="preserve">supplier cash flow, excl cash from bridge</t>
  </si>
  <si>
    <t xml:space="preserve">Bridge cash flow principal + interests</t>
  </si>
  <si>
    <t xml:space="preserve">Minority partner CF from the equity portion</t>
  </si>
  <si>
    <t xml:space="preserve">Minority partner CF from the Land</t>
  </si>
  <si>
    <t xml:space="preserve">Minority partner CF from the Bridge</t>
  </si>
  <si>
    <t xml:space="preserve">check</t>
  </si>
  <si>
    <t xml:space="preserve">Start of Construction Period Indicator</t>
  </si>
  <si>
    <t xml:space="preserve">Loan Period Indicator</t>
  </si>
  <si>
    <t xml:space="preserve">Sources and Uses of Cash</t>
  </si>
  <si>
    <t xml:space="preserve">Sources of Cash</t>
  </si>
  <si>
    <t xml:space="preserve">Bank</t>
  </si>
  <si>
    <t xml:space="preserve">Shareholder Loan / Mezzanine Loan</t>
  </si>
  <si>
    <t xml:space="preserve">Equity</t>
  </si>
  <si>
    <t xml:space="preserve">Equity, of which:</t>
  </si>
  <si>
    <t xml:space="preserve">supplier Equity Injection</t>
  </si>
  <si>
    <t xml:space="preserve">Minority shares' land + equity portion (if any)</t>
  </si>
  <si>
    <t xml:space="preserve">Minority shares' bridge equity</t>
  </si>
  <si>
    <t xml:space="preserve">Minority shares' land value</t>
  </si>
  <si>
    <t xml:space="preserve">Minority shares' equity portion</t>
  </si>
  <si>
    <t xml:space="preserve">Equity excluding Land</t>
  </si>
  <si>
    <t xml:space="preserve">supplier Equity Injection if the min part invests</t>
  </si>
  <si>
    <t xml:space="preserve">Minority Partner injection</t>
  </si>
  <si>
    <t xml:space="preserve">Uses of Cash</t>
  </si>
  <si>
    <t xml:space="preserve">Cash Drawdown for Hard Cost</t>
  </si>
  <si>
    <t xml:space="preserve">Debt Service Reserve Account (DSRA)</t>
  </si>
  <si>
    <t xml:space="preserve">Maintenance Reserve Account (MRA)</t>
  </si>
  <si>
    <t xml:space="preserve">Interest During Construction (IDC)</t>
  </si>
  <si>
    <t xml:space="preserve">Other Devt Costs</t>
  </si>
  <si>
    <t xml:space="preserve">Total Capital Required, excl. Land</t>
  </si>
  <si>
    <t xml:space="preserve">Total Capital Required, incl. Land</t>
  </si>
  <si>
    <t xml:space="preserve">Minority shares' equity contribution</t>
  </si>
  <si>
    <t xml:space="preserve">Minority Shareholders' Contribution</t>
  </si>
  <si>
    <t xml:space="preserve">Total Depreciable Project Cost</t>
  </si>
  <si>
    <t xml:space="preserve">Bank Debt</t>
  </si>
  <si>
    <t xml:space="preserve">Principal Balance (before COD)</t>
  </si>
  <si>
    <t xml:space="preserve">Beg. of Year</t>
  </si>
  <si>
    <t xml:space="preserve">Hard Cost Financing</t>
  </si>
  <si>
    <t xml:space="preserve">MIGA Financing</t>
  </si>
  <si>
    <t xml:space="preserve">WC Financing</t>
  </si>
  <si>
    <t xml:space="preserve">DSRA Financing</t>
  </si>
  <si>
    <t xml:space="preserve">MRA Financing</t>
  </si>
  <si>
    <t xml:space="preserve">Bank Fees Financing</t>
  </si>
  <si>
    <t xml:space="preserve">Land Payment Financing</t>
  </si>
  <si>
    <t xml:space="preserve">Interest During Construction</t>
  </si>
  <si>
    <t xml:space="preserve">End of Year</t>
  </si>
  <si>
    <t xml:space="preserve">Loan Repayment Selected in Model</t>
  </si>
  <si>
    <t xml:space="preserve">Principal Repayment used in model</t>
  </si>
  <si>
    <t xml:space="preserve">Interest Payment used in model</t>
  </si>
  <si>
    <t xml:space="preserve">Total Bank Loan payment used</t>
  </si>
  <si>
    <t xml:space="preserve">Selected Method:</t>
  </si>
  <si>
    <t xml:space="preserve">Principal Addition</t>
  </si>
  <si>
    <t xml:space="preserve">Accumulated Interest</t>
  </si>
  <si>
    <t xml:space="preserve">Principal Repayment</t>
  </si>
  <si>
    <t xml:space="preserve">1st year bank payment</t>
  </si>
  <si>
    <t xml:space="preserve">Initial DSRA Injection Req.</t>
  </si>
  <si>
    <t xml:space="preserve">Loan Repayment (DSCR Sculpted)</t>
  </si>
  <si>
    <t xml:space="preserve">Interest Payment</t>
  </si>
  <si>
    <t xml:space="preserve">1st year Payment</t>
  </si>
  <si>
    <t xml:space="preserve">DSRA Required each year</t>
  </si>
  <si>
    <t xml:space="preserve">Loan Repayment (Fixed Principal)</t>
  </si>
  <si>
    <t xml:space="preserve">Loan Repayment (amortization)</t>
  </si>
  <si>
    <t xml:space="preserve">Total Bank Loan Payment</t>
  </si>
  <si>
    <t xml:space="preserve">Shareholder Debt</t>
  </si>
  <si>
    <t xml:space="preserve">Total Shareholder Loan payment used</t>
  </si>
  <si>
    <t xml:space="preserve">Selected Method (amortization / ASAP):</t>
  </si>
  <si>
    <t xml:space="preserve">Shareholder Loan Financing</t>
  </si>
  <si>
    <t xml:space="preserve">Actual Shareholder Loan Principal Repayment</t>
  </si>
  <si>
    <t xml:space="preserve">Shareholder Loan Balance (amortization)</t>
  </si>
  <si>
    <t xml:space="preserve">Shareholder Loan Payment</t>
  </si>
  <si>
    <t xml:space="preserve">Shareholder Loan Balance (ASAP)</t>
  </si>
  <si>
    <t xml:space="preserve">Bridge Equity</t>
  </si>
  <si>
    <t xml:space="preserve">Total Bridge Equity Loan payment used</t>
  </si>
  <si>
    <t xml:space="preserve">Bridge Equity Loan Financing</t>
  </si>
  <si>
    <t xml:space="preserve">Actual Bridge Equity Loan Principal Repayment</t>
  </si>
  <si>
    <t xml:space="preserve">Bridge Equity Loan Balance (amortization)</t>
  </si>
  <si>
    <t xml:space="preserve">Bridge Equity Loan Balance (ASAP)</t>
  </si>
  <si>
    <t xml:space="preserve">Cash available for Minority Shareholders</t>
  </si>
  <si>
    <t xml:space="preserve">Cash available for Minority Shareholders' Loan Repayment</t>
  </si>
  <si>
    <t xml:space="preserve">Special Accounts</t>
  </si>
  <si>
    <t xml:space="preserve">Working Capital</t>
  </si>
  <si>
    <t xml:space="preserve">Revenue Receivables:</t>
  </si>
  <si>
    <t xml:space="preserve">Beg. Balance</t>
  </si>
  <si>
    <t xml:space="preserve">Revenue of the year</t>
  </si>
  <si>
    <t xml:space="preserve">Actual cash received</t>
  </si>
  <si>
    <t xml:space="preserve">Ending Balance</t>
  </si>
  <si>
    <t xml:space="preserve">OPEX Payables:</t>
  </si>
  <si>
    <t xml:space="preserve">OPEX of the year</t>
  </si>
  <si>
    <t xml:space="preserve">Actual cash paid</t>
  </si>
  <si>
    <t xml:space="preserve">Initial WC Injection</t>
  </si>
  <si>
    <t xml:space="preserve">Working Capital Required</t>
  </si>
  <si>
    <t xml:space="preserve">Total WC Required</t>
  </si>
  <si>
    <t xml:space="preserve">Changes in Working Capital:</t>
  </si>
  <si>
    <t xml:space="preserve">Changes in WC Requirement</t>
  </si>
  <si>
    <t xml:space="preserve">WC Return at the last year of operation</t>
  </si>
  <si>
    <t xml:space="preserve">Total Changes in Working Capital</t>
  </si>
  <si>
    <t xml:space="preserve">Debt Service Reserve Account</t>
  </si>
  <si>
    <t xml:space="preserve">Opening Balance</t>
  </si>
  <si>
    <t xml:space="preserve">Initial DSRA Injection</t>
  </si>
  <si>
    <t xml:space="preserve">DSRA reduction (if fixed principal / DSCR)</t>
  </si>
  <si>
    <t xml:space="preserve">DSRA expiry</t>
  </si>
  <si>
    <t xml:space="preserve">Closing Balance</t>
  </si>
  <si>
    <t xml:space="preserve">Account Funds Injection</t>
  </si>
  <si>
    <t xml:space="preserve">Reduction</t>
  </si>
  <si>
    <t xml:space="preserve">End of period reimbursement</t>
  </si>
  <si>
    <t xml:space="preserve">Required Minimum MRA</t>
  </si>
  <si>
    <t xml:space="preserve">MIGA Premium on Current Amount</t>
  </si>
  <si>
    <t xml:space="preserve">MIGA Premium on Standby Amount</t>
  </si>
  <si>
    <t xml:space="preserve">MIGA Premium Payable</t>
  </si>
  <si>
    <t xml:space="preserve">MIGA Premium on Premium</t>
  </si>
  <si>
    <t xml:space="preserve">Total MIGA Premium Payable (before COD)</t>
  </si>
  <si>
    <t xml:space="preserve">MIGA Coverage on Current Bank Debt</t>
  </si>
  <si>
    <t xml:space="preserve">Current Principal Amount</t>
  </si>
  <si>
    <t xml:space="preserve">Future Interest Amount on Current</t>
  </si>
  <si>
    <t xml:space="preserve">Actual Coverage</t>
  </si>
  <si>
    <t xml:space="preserve">MIGA Coverage on Future Bank Debt</t>
  </si>
  <si>
    <t xml:space="preserve">Principal Amount on Standby</t>
  </si>
  <si>
    <t xml:space="preserve">Future Interest Amount on Standby</t>
  </si>
  <si>
    <t xml:space="preserve">MIGA Admin Fee</t>
  </si>
  <si>
    <t xml:space="preserve">MIGA Coverage on Current Equity</t>
  </si>
  <si>
    <t xml:space="preserve">Current Shareholder Loan</t>
  </si>
  <si>
    <t xml:space="preserve">Current Authorized Capital</t>
  </si>
  <si>
    <t xml:space="preserve">MIGA Coverage on Future Equity Commitment</t>
  </si>
  <si>
    <t xml:space="preserve">Equity Injection on Standby</t>
  </si>
  <si>
    <t xml:space="preserve">Balance Sheet</t>
  </si>
  <si>
    <t xml:space="preserve">Assets</t>
  </si>
  <si>
    <t xml:space="preserve">Gross fixed assets</t>
  </si>
  <si>
    <t xml:space="preserve">Accumulated interest - Mezzanine Loan</t>
  </si>
  <si>
    <t xml:space="preserve">Accumulated depreciation</t>
  </si>
  <si>
    <t xml:space="preserve">Net fixed assets</t>
  </si>
  <si>
    <t xml:space="preserve">Cash</t>
  </si>
  <si>
    <t xml:space="preserve">WC</t>
  </si>
  <si>
    <t xml:space="preserve">Current assets</t>
  </si>
  <si>
    <t xml:space="preserve">Total Assets</t>
  </si>
  <si>
    <t xml:space="preserve">Liabilities &amp; Shareholders' Equity</t>
  </si>
  <si>
    <t xml:space="preserve">Senior Debt</t>
  </si>
  <si>
    <t xml:space="preserve">Liabilities</t>
  </si>
  <si>
    <t xml:space="preserve">Opening Capital</t>
  </si>
  <si>
    <t xml:space="preserve">Capital Increase</t>
  </si>
  <si>
    <t xml:space="preserve">Minority Shares excl. land</t>
  </si>
  <si>
    <t xml:space="preserve">Land cost</t>
  </si>
  <si>
    <t xml:space="preserve">Closing Capital</t>
  </si>
  <si>
    <t xml:space="preserve">Dividend Distribution</t>
  </si>
  <si>
    <t xml:space="preserve">Retained Earnings</t>
  </si>
  <si>
    <t xml:space="preserve">Total Liabilities + Shareholders' Equity</t>
  </si>
  <si>
    <t xml:space="preserve">Capitalization Ratio</t>
  </si>
  <si>
    <t xml:space="preserve">Tax Calculations</t>
  </si>
  <si>
    <t xml:space="preserve">Tax-Deductibility</t>
  </si>
  <si>
    <t xml:space="preserve">Maximum Total Loan Tax-Deductible</t>
  </si>
  <si>
    <t xml:space="preserve">Bank Loan</t>
  </si>
  <si>
    <t xml:space="preserve">Total Loan</t>
  </si>
  <si>
    <t xml:space="preserve">% share of Bank Loan</t>
  </si>
  <si>
    <t xml:space="preserve">% share of Shareholder Loan</t>
  </si>
  <si>
    <t xml:space="preserve">Maximum Interest Tax-Deductible</t>
  </si>
  <si>
    <t xml:space="preserve">Tax Loss Carry Forward</t>
  </si>
  <si>
    <t xml:space="preserve">Increase</t>
  </si>
  <si>
    <t xml:space="preserve">Decrease</t>
  </si>
  <si>
    <t xml:space="preserve">Expired</t>
  </si>
  <si>
    <t xml:space="preserve">Taxable Income after Tax Loss</t>
  </si>
  <si>
    <t xml:space="preserve">Checks</t>
  </si>
  <si>
    <t xml:space="preserve">Cash Positive Check</t>
  </si>
  <si>
    <t xml:space="preserve">Balance Sheet Check</t>
  </si>
  <si>
    <t xml:space="preserve">Minority Shareholders Cash Positive Check</t>
  </si>
  <si>
    <t xml:space="preserve">Final Leverage Rate Check</t>
  </si>
  <si>
    <t xml:space="preserve">supplier investment = required commitment check</t>
  </si>
  <si>
    <t xml:space="preserve">DSCR Check</t>
  </si>
  <si>
    <t xml:space="preserve">Current Scenario Selected:</t>
  </si>
  <si>
    <t xml:space="preserve">supplier Total Cash Flow, before WHT</t>
  </si>
  <si>
    <t xml:space="preserve">supplier total equity commitment at FC</t>
  </si>
  <si>
    <t xml:space="preserve">USD / kWh</t>
  </si>
  <si>
    <t xml:space="preserve">1st-year Tariff</t>
  </si>
  <si>
    <t xml:space="preserve">Plant Capacity</t>
  </si>
  <si>
    <t xml:space="preserve">Plant Specific Yield</t>
  </si>
  <si>
    <t xml:space="preserve">kWh / kWp</t>
  </si>
  <si>
    <t xml:space="preserve">kUSD / MW</t>
  </si>
  <si>
    <t xml:space="preserve">Land area</t>
  </si>
  <si>
    <t xml:space="preserve">Total Capital Required per MW</t>
  </si>
  <si>
    <t xml:space="preserve">kUSD / MWp</t>
  </si>
  <si>
    <t xml:space="preserve">Total Capital Required</t>
  </si>
  <si>
    <t xml:space="preserve">All checks ok?</t>
  </si>
  <si>
    <t xml:space="preserve">all checks ok</t>
  </si>
  <si>
    <t xml:space="preserve">Minority Shareholders Share</t>
  </si>
  <si>
    <t xml:space="preserve">Out of which, cash equity:</t>
  </si>
  <si>
    <t xml:space="preserve">Out of which, land:</t>
  </si>
  <si>
    <t xml:space="preserve">Out of which, bridge equity:</t>
  </si>
  <si>
    <t xml:space="preserve">Minority shares' cash contribution</t>
  </si>
  <si>
    <t xml:space="preserve">Minority shares' land contribution</t>
  </si>
  <si>
    <t xml:space="preserve">Total value of Minority Shareholders' share</t>
  </si>
  <si>
    <t xml:space="preserve">Total Cash Flow for Minority Shareholders </t>
  </si>
  <si>
    <t xml:space="preserve">Total Cash Flow for 1st 8 years</t>
  </si>
  <si>
    <t xml:space="preserve">Debt</t>
  </si>
  <si>
    <t xml:space="preserve">Total value of land for Minority Shareholders</t>
  </si>
  <si>
    <t xml:space="preserve">Actual land cost</t>
  </si>
  <si>
    <t xml:space="preserve">Total Capital Required:</t>
  </si>
  <si>
    <t xml:space="preserve">Land Cost</t>
  </si>
  <si>
    <t xml:space="preserve">Total Project Cost</t>
  </si>
  <si>
    <t xml:space="preserve">Hard Cost CAPEX composition:</t>
  </si>
  <si>
    <t xml:space="preserve">supplier:</t>
  </si>
  <si>
    <t xml:space="preserve">supplier cash flow before WHT</t>
  </si>
  <si>
    <t xml:space="preserve">Minority Shareholder:</t>
  </si>
  <si>
    <t xml:space="preserve">Min. Shareholder before WHT</t>
  </si>
  <si>
    <t xml:space="preserve">Minority Shareholder</t>
  </si>
  <si>
    <t xml:space="preserve">Year</t>
  </si>
  <si>
    <t xml:space="preserve">Discount Factor</t>
  </si>
  <si>
    <t xml:space="preserve">Escalation Factor</t>
  </si>
  <si>
    <t xml:space="preserve">Base Data Tariff</t>
  </si>
  <si>
    <t xml:space="preserve">Total Payment</t>
  </si>
  <si>
    <t xml:space="preserve">A</t>
  </si>
  <si>
    <t xml:space="preserve">B</t>
  </si>
  <si>
    <t xml:space="preserve">C</t>
  </si>
  <si>
    <t xml:space="preserve">D</t>
  </si>
  <si>
    <t xml:space="preserve">E</t>
  </si>
  <si>
    <t xml:space="preserve">n</t>
  </si>
  <si>
    <t xml:space="preserve">USD</t>
  </si>
  <si>
    <t xml:space="preserve">NPV</t>
  </si>
  <si>
    <t xml:space="preserve">c USD / kWh</t>
  </si>
  <si>
    <t xml:space="preserve">Bangla Tariff Calc</t>
  </si>
</sst>
</file>

<file path=xl/styles.xml><?xml version="1.0" encoding="utf-8"?>
<styleSheet xmlns="http://schemas.openxmlformats.org/spreadsheetml/2006/main">
  <numFmts count="25">
    <numFmt numFmtId="164" formatCode="General"/>
    <numFmt numFmtId="165" formatCode="0%"/>
    <numFmt numFmtId="166" formatCode="#,###,_ ;[RED]\-#,##0\ "/>
    <numFmt numFmtId="167" formatCode="#,##0_ ;[RED]\-#,##0\ "/>
    <numFmt numFmtId="168" formatCode="0.00%"/>
    <numFmt numFmtId="169" formatCode="0.0%"/>
    <numFmt numFmtId="170" formatCode="0"/>
    <numFmt numFmtId="171" formatCode="0.0"/>
    <numFmt numFmtId="172" formatCode="0.00"/>
    <numFmt numFmtId="173" formatCode="0.0000"/>
    <numFmt numFmtId="174" formatCode="#,###,_ ;[RED]\-#,###,;\-"/>
    <numFmt numFmtId="175" formatCode="##,##0_ ;[RED]\-#,##0\ "/>
    <numFmt numFmtId="176" formatCode="#,###.0,_ ;[RED]\-#,##0.0\ "/>
    <numFmt numFmtId="177" formatCode="D/M/YYYY"/>
    <numFmt numFmtId="178" formatCode="_(* #,##0.00_);_(* \(#,##0.00\);_(* \-??_);_(@_)"/>
    <numFmt numFmtId="179" formatCode="_(* #,##0.000000_);_(* \(#,##0.000000\);_(* \-??_);_(@_)"/>
    <numFmt numFmtId="180" formatCode="#,###,_ ;[RED]\-#,;\-"/>
    <numFmt numFmtId="181" formatCode="0.000"/>
    <numFmt numFmtId="182" formatCode="0.00000%"/>
    <numFmt numFmtId="183" formatCode="_(* #,##0_);_(* \(#,##0\);_(* \-??_);_(@_)"/>
    <numFmt numFmtId="184" formatCode="\$#,##0"/>
    <numFmt numFmtId="185" formatCode="_-* #,##0\ _€_-;\-* #,##0\ _€_-;_-* \-??\ _€_-;_-@_-"/>
    <numFmt numFmtId="186" formatCode="_-* #,##0.0000\ _€_-;\-* #,##0.0000\ _€_-;_-* \-??\ _€_-;_-@_-"/>
    <numFmt numFmtId="187" formatCode="_-* #,##0.000\ _€_-;\-* #,##0.000\ _€_-;_-* \-??\ _€_-;_-@_-"/>
    <numFmt numFmtId="188" formatCode="_(* #,##0.0000_);_(* \(#,##0.0000\);_(* \-??_);_(@_)"/>
  </numFmts>
  <fonts count="25">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11"/>
      <color rgb="FFC55A11"/>
      <name val="Calibri"/>
      <family val="2"/>
      <charset val="1"/>
    </font>
    <font>
      <sz val="11"/>
      <color rgb="FFFFFFFF"/>
      <name val="Calibri"/>
      <family val="2"/>
      <charset val="1"/>
    </font>
    <font>
      <b val="true"/>
      <sz val="20"/>
      <color rgb="FFFFFFFF"/>
      <name val="Calibri"/>
      <family val="2"/>
      <charset val="1"/>
    </font>
    <font>
      <sz val="9"/>
      <color rgb="FF000000"/>
      <name val="Calibri"/>
      <family val="2"/>
      <charset val="1"/>
    </font>
    <font>
      <sz val="8"/>
      <color rgb="FF000000"/>
      <name val="Calibri"/>
      <family val="2"/>
      <charset val="1"/>
    </font>
    <font>
      <b val="true"/>
      <sz val="11"/>
      <color rgb="FFFFFFFF"/>
      <name val="Calibri"/>
      <family val="2"/>
      <charset val="1"/>
    </font>
    <font>
      <b val="true"/>
      <sz val="11"/>
      <color rgb="FFC55A11"/>
      <name val="Calibri"/>
      <family val="2"/>
      <charset val="1"/>
    </font>
    <font>
      <sz val="9.5"/>
      <color rgb="FFC55A11"/>
      <name val="Calibri"/>
      <family val="2"/>
      <charset val="1"/>
    </font>
    <font>
      <sz val="11"/>
      <name val="Calibri"/>
      <family val="2"/>
      <charset val="1"/>
    </font>
    <font>
      <b val="true"/>
      <sz val="9.5"/>
      <color rgb="FFC55A11"/>
      <name val="Calibri"/>
      <family val="2"/>
      <charset val="1"/>
    </font>
    <font>
      <sz val="11"/>
      <color rgb="FFA6A6A6"/>
      <name val="Calibri"/>
      <family val="2"/>
      <charset val="1"/>
    </font>
    <font>
      <b val="true"/>
      <sz val="9"/>
      <color rgb="FF000000"/>
      <name val="Tahoma"/>
      <family val="2"/>
      <charset val="1"/>
    </font>
    <font>
      <sz val="9"/>
      <color rgb="FF000000"/>
      <name val="Tahoma"/>
      <family val="2"/>
      <charset val="1"/>
    </font>
    <font>
      <i val="true"/>
      <sz val="11"/>
      <color rgb="FF000000"/>
      <name val="Calibri"/>
      <family val="2"/>
      <charset val="1"/>
    </font>
    <font>
      <b val="true"/>
      <sz val="11"/>
      <name val="Calibri"/>
      <family val="2"/>
      <charset val="1"/>
    </font>
    <font>
      <sz val="11"/>
      <color rgb="FFE7E6E6"/>
      <name val="Calibri"/>
      <family val="2"/>
      <charset val="1"/>
    </font>
    <font>
      <sz val="11"/>
      <color rgb="FFD9D9D9"/>
      <name val="Calibri"/>
      <family val="2"/>
      <charset val="1"/>
    </font>
    <font>
      <b val="true"/>
      <sz val="14"/>
      <color rgb="FF000000"/>
      <name val="Calibri"/>
      <family val="2"/>
      <charset val="1"/>
    </font>
    <font>
      <i val="true"/>
      <sz val="10"/>
      <color rgb="FF000000"/>
      <name val="Calibri"/>
      <family val="2"/>
      <charset val="1"/>
    </font>
    <font>
      <i val="true"/>
      <sz val="11"/>
      <name val="Calibri"/>
      <family val="2"/>
      <charset val="1"/>
    </font>
  </fonts>
  <fills count="11">
    <fill>
      <patternFill patternType="none"/>
    </fill>
    <fill>
      <patternFill patternType="gray125"/>
    </fill>
    <fill>
      <patternFill patternType="solid">
        <fgColor rgb="FFFFFFFF"/>
        <bgColor rgb="FFFFF2CC"/>
      </patternFill>
    </fill>
    <fill>
      <patternFill patternType="solid">
        <fgColor rgb="FF4472C4"/>
        <bgColor rgb="FF666699"/>
      </patternFill>
    </fill>
    <fill>
      <patternFill patternType="solid">
        <fgColor rgb="FFCCFFCC"/>
        <bgColor rgb="FFCCFFFF"/>
      </patternFill>
    </fill>
    <fill>
      <patternFill patternType="solid">
        <fgColor rgb="FFFFFF00"/>
        <bgColor rgb="FFFFFF00"/>
      </patternFill>
    </fill>
    <fill>
      <patternFill patternType="solid">
        <fgColor rgb="FF548235"/>
        <bgColor rgb="FF339966"/>
      </patternFill>
    </fill>
    <fill>
      <patternFill patternType="solid">
        <fgColor rgb="FFD9D9D9"/>
        <bgColor rgb="FFE7E6E6"/>
      </patternFill>
    </fill>
    <fill>
      <patternFill patternType="solid">
        <fgColor rgb="FFFFF2CC"/>
        <bgColor rgb="FFE7E6E6"/>
      </patternFill>
    </fill>
    <fill>
      <patternFill patternType="solid">
        <fgColor rgb="FFBFBFBF"/>
        <bgColor rgb="FFADB9CA"/>
      </patternFill>
    </fill>
    <fill>
      <patternFill patternType="solid">
        <fgColor rgb="FFADB9CA"/>
        <bgColor rgb="FFBFBFBF"/>
      </patternFill>
    </fill>
  </fills>
  <borders count="30">
    <border diagonalUp="false" diagonalDown="false">
      <left/>
      <right/>
      <top/>
      <bottom/>
      <diagonal/>
    </border>
    <border diagonalUp="false" diagonalDown="false">
      <left style="dotted"/>
      <right/>
      <top/>
      <bottom/>
      <diagonal/>
    </border>
    <border diagonalUp="false" diagonalDown="false">
      <left/>
      <right style="dotted"/>
      <top/>
      <bottom/>
      <diagonal/>
    </border>
    <border diagonalUp="false" diagonalDown="false">
      <left/>
      <right style="dashDotDot"/>
      <top/>
      <bottom/>
      <diagonal/>
    </border>
    <border diagonalUp="false" diagonalDown="false">
      <left style="dashDotDot"/>
      <right/>
      <top/>
      <bottom/>
      <diagonal/>
    </border>
    <border diagonalUp="false" diagonalDown="false">
      <left/>
      <right/>
      <top/>
      <bottom style="thin">
        <color rgb="FFFFFFFF"/>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hair"/>
      <right style="hair"/>
      <top style="hair"/>
      <bottom style="hair"/>
      <diagonal/>
    </border>
    <border diagonalUp="false" diagonalDown="false">
      <left/>
      <right/>
      <top style="thin"/>
      <bottom/>
      <diagonal/>
    </border>
    <border diagonalUp="false" diagonalDown="false">
      <left style="dotted"/>
      <right/>
      <top style="thin"/>
      <bottom/>
      <diagonal/>
    </border>
    <border diagonalUp="false" diagonalDown="false">
      <left/>
      <right style="dotted"/>
      <top style="thin"/>
      <bottom/>
      <diagonal/>
    </border>
    <border diagonalUp="false" diagonalDown="false">
      <left/>
      <right style="thin"/>
      <top/>
      <bottom/>
      <diagonal/>
    </border>
    <border diagonalUp="false" diagonalDown="false">
      <left/>
      <right style="thin"/>
      <top style="thin"/>
      <bottom/>
      <diagonal/>
    </border>
    <border diagonalUp="false" diagonalDown="false">
      <left style="thin"/>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right style="medium"/>
      <top/>
      <botto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cellStyleXfs>
  <cellXfs count="26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true" applyProtection="false">
      <alignment horizontal="center"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4" xfId="0" applyFont="true" applyBorder="true" applyAlignment="false" applyProtection="false">
      <alignment horizontal="general" vertical="bottom" textRotation="0" wrapText="fals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center" vertical="bottom" textRotation="0" wrapText="false" indent="0" shrinkToFit="false"/>
      <protection locked="true" hidden="false"/>
    </xf>
    <xf numFmtId="164" fontId="6" fillId="3" borderId="1" xfId="0" applyFont="true" applyBorder="true" applyAlignment="false" applyProtection="false">
      <alignment horizontal="general" vertical="bottom" textRotation="0" wrapText="false" indent="0" shrinkToFit="false"/>
      <protection locked="true" hidden="false"/>
    </xf>
    <xf numFmtId="164" fontId="7" fillId="3" borderId="0" xfId="0" applyFont="true" applyBorder="true" applyAlignment="true" applyProtection="false">
      <alignment horizontal="general" vertical="center" textRotation="0" wrapText="false" indent="0" shrinkToFit="false"/>
      <protection locked="true" hidden="false"/>
    </xf>
    <xf numFmtId="164" fontId="7" fillId="3" borderId="5" xfId="0" applyFont="true" applyBorder="true" applyAlignment="true" applyProtection="false">
      <alignment horizontal="center" vertical="center" textRotation="0" wrapText="false" indent="0" shrinkToFit="false"/>
      <protection locked="true" hidden="false"/>
    </xf>
    <xf numFmtId="164" fontId="6" fillId="3" borderId="2" xfId="0" applyFont="true" applyBorder="true" applyAlignment="true" applyProtection="false">
      <alignment horizontal="center" vertical="bottom" textRotation="0" wrapText="false" indent="0" shrinkToFit="false"/>
      <protection locked="true" hidden="false"/>
    </xf>
    <xf numFmtId="164" fontId="6" fillId="3" borderId="3" xfId="0" applyFont="true" applyBorder="tru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6" fillId="3" borderId="4" xfId="0" applyFont="true" applyBorder="true" applyAlignment="false" applyProtection="false">
      <alignment horizontal="general" vertical="bottom" textRotation="0" wrapText="false" indent="0" shrinkToFit="false"/>
      <protection locked="true" hidden="false"/>
    </xf>
    <xf numFmtId="164" fontId="7" fillId="3" borderId="5" xfId="0" applyFont="true" applyBorder="true" applyAlignment="true" applyProtection="false">
      <alignment horizontal="general" vertical="center" textRotation="0" wrapText="false" indent="0" shrinkToFit="false"/>
      <protection locked="true" hidden="false"/>
    </xf>
    <xf numFmtId="164" fontId="0" fillId="2" borderId="6" xfId="0" applyFont="false" applyBorder="true" applyAlignment="true" applyProtection="false">
      <alignment horizontal="general" vertical="center" textRotation="0" wrapText="false" indent="0" shrinkToFit="false"/>
      <protection locked="true" hidden="false"/>
    </xf>
    <xf numFmtId="164" fontId="0" fillId="2" borderId="7" xfId="0" applyFont="true" applyBorder="true" applyAlignment="true" applyProtection="false">
      <alignment horizontal="right" vertical="center" textRotation="0" wrapText="false" indent="0" shrinkToFit="false"/>
      <protection locked="true" hidden="false"/>
    </xf>
    <xf numFmtId="164" fontId="0" fillId="4" borderId="8" xfId="0" applyFont="false" applyBorder="true" applyAlignment="true" applyProtection="false">
      <alignment horizontal="center" vertical="center" textRotation="0" wrapText="false" indent="0" shrinkToFit="false"/>
      <protection locked="true" hidden="false"/>
    </xf>
    <xf numFmtId="164" fontId="8" fillId="2" borderId="0" xfId="0" applyFont="true" applyBorder="false" applyAlignment="true" applyProtection="false">
      <alignment horizontal="center" vertical="bottom" textRotation="0" wrapText="true" indent="0" shrinkToFit="false"/>
      <protection locked="true" hidden="false"/>
    </xf>
    <xf numFmtId="165" fontId="9" fillId="0" borderId="0" xfId="19" applyFont="true" applyBorder="true" applyAlignment="true" applyProtection="true">
      <alignment horizontal="center" vertical="center" textRotation="0" wrapText="tru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64" fontId="10" fillId="3" borderId="0" xfId="0" applyFont="true" applyBorder="false" applyAlignment="true" applyProtection="false">
      <alignment horizontal="general" vertical="center" textRotation="0" wrapText="false" indent="0" shrinkToFit="false"/>
      <protection locked="true" hidden="false"/>
    </xf>
    <xf numFmtId="164" fontId="10" fillId="3" borderId="0" xfId="0" applyFont="true" applyBorder="false" applyAlignment="true" applyProtection="false">
      <alignment horizontal="center" vertical="center" textRotation="0" wrapText="false" indent="0" shrinkToFit="false"/>
      <protection locked="true" hidden="false"/>
    </xf>
    <xf numFmtId="164" fontId="10" fillId="3" borderId="1" xfId="0" applyFont="true" applyBorder="true" applyAlignment="true" applyProtection="false">
      <alignment horizontal="general"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3" borderId="3" xfId="0" applyFont="true" applyBorder="true" applyAlignment="true" applyProtection="false">
      <alignment horizontal="general" vertical="center" textRotation="0" wrapText="false" indent="0" shrinkToFit="false"/>
      <protection locked="true" hidden="false"/>
    </xf>
    <xf numFmtId="164" fontId="11" fillId="3" borderId="0" xfId="0" applyFont="true" applyBorder="false" applyAlignment="true" applyProtection="false">
      <alignment horizontal="general" vertical="center" textRotation="0" wrapText="false" indent="0" shrinkToFit="false"/>
      <protection locked="true" hidden="false"/>
    </xf>
    <xf numFmtId="164" fontId="10" fillId="3" borderId="4"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0" fillId="2" borderId="9" xfId="0" applyFont="false" applyBorder="true" applyAlignment="true" applyProtection="false">
      <alignment horizontal="center" vertical="bottom" textRotation="0" wrapText="false" indent="0" shrinkToFit="false"/>
      <protection locked="true" hidden="false"/>
    </xf>
    <xf numFmtId="164" fontId="0" fillId="4" borderId="9" xfId="0" applyFont="false" applyBorder="true" applyAlignment="true" applyProtection="false">
      <alignment horizontal="center" vertical="bottom" textRotation="0" wrapText="false" indent="0" shrinkToFit="false"/>
      <protection locked="true" hidden="false"/>
    </xf>
    <xf numFmtId="166" fontId="13" fillId="0" borderId="0" xfId="0" applyFont="true" applyBorder="true" applyAlignment="true" applyProtection="false">
      <alignment horizontal="center" vertical="bottom" textRotation="0" wrapText="false" indent="0" shrinkToFit="false"/>
      <protection locked="true" hidden="false"/>
    </xf>
    <xf numFmtId="166" fontId="13" fillId="0" borderId="3" xfId="0" applyFont="true" applyBorder="true" applyAlignment="true" applyProtection="false">
      <alignment horizontal="center" vertical="bottom" textRotation="0" wrapText="false" indent="0" shrinkToFit="false"/>
      <protection locked="true" hidden="false"/>
    </xf>
    <xf numFmtId="167" fontId="13" fillId="2" borderId="9" xfId="0" applyFont="true" applyBorder="true" applyAlignment="true" applyProtection="false">
      <alignment horizontal="center" vertical="bottom" textRotation="0" wrapText="false" indent="0" shrinkToFit="false"/>
      <protection locked="true" hidden="false"/>
    </xf>
    <xf numFmtId="167" fontId="13" fillId="4" borderId="9" xfId="0" applyFont="true" applyBorder="true" applyAlignment="true" applyProtection="false">
      <alignment horizontal="center" vertical="bottom" textRotation="0" wrapText="false" indent="0" shrinkToFit="false"/>
      <protection locked="true" hidden="false"/>
    </xf>
    <xf numFmtId="168" fontId="0" fillId="2" borderId="9" xfId="0" applyFont="false" applyBorder="true" applyAlignment="true" applyProtection="false">
      <alignment horizontal="center" vertical="bottom" textRotation="0" wrapText="false" indent="0" shrinkToFit="false"/>
      <protection locked="true" hidden="false"/>
    </xf>
    <xf numFmtId="168" fontId="0" fillId="4" borderId="9" xfId="0" applyFont="false" applyBorder="true" applyAlignment="true" applyProtection="false">
      <alignment horizontal="center" vertical="bottom" textRotation="0" wrapText="false" indent="0" shrinkToFit="false"/>
      <protection locked="true" hidden="false"/>
    </xf>
    <xf numFmtId="168" fontId="0" fillId="2" borderId="0" xfId="0" applyFont="false" applyBorder="false" applyAlignment="false" applyProtection="false">
      <alignment horizontal="general" vertical="bottom" textRotation="0" wrapText="false" indent="0" shrinkToFit="false"/>
      <protection locked="true" hidden="false"/>
    </xf>
    <xf numFmtId="168" fontId="0" fillId="2" borderId="3" xfId="0" applyFont="false" applyBorder="true" applyAlignment="false" applyProtection="false">
      <alignment horizontal="general" vertical="bottom" textRotation="0" wrapText="false" indent="0" shrinkToFit="false"/>
      <protection locked="true" hidden="false"/>
    </xf>
    <xf numFmtId="169" fontId="0" fillId="2" borderId="9" xfId="0" applyFont="false" applyBorder="true" applyAlignment="true" applyProtection="false">
      <alignment horizontal="center" vertical="bottom" textRotation="0" wrapText="false" indent="0" shrinkToFit="false"/>
      <protection locked="true" hidden="false"/>
    </xf>
    <xf numFmtId="169" fontId="0" fillId="4" borderId="9" xfId="0" applyFont="false" applyBorder="true" applyAlignment="true" applyProtection="false">
      <alignment horizontal="center" vertical="bottom" textRotation="0" wrapText="false" indent="0" shrinkToFit="false"/>
      <protection locked="true" hidden="false"/>
    </xf>
    <xf numFmtId="164" fontId="0" fillId="4" borderId="9" xfId="0" applyFont="true" applyBorder="true" applyAlignment="true" applyProtection="false">
      <alignment horizontal="center" vertical="bottom" textRotation="0" wrapText="false" indent="0" shrinkToFit="false"/>
      <protection locked="tru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6" fontId="13" fillId="5" borderId="0" xfId="0" applyFont="true" applyBorder="true" applyAlignment="true" applyProtection="false">
      <alignment horizontal="center" vertical="bottom" textRotation="0" wrapText="false" indent="0" shrinkToFit="false"/>
      <protection locked="true" hidden="false"/>
    </xf>
    <xf numFmtId="166" fontId="12" fillId="0" borderId="0" xfId="0" applyFont="true" applyBorder="true" applyAlignment="true" applyProtection="false">
      <alignment horizontal="center" vertical="bottom" textRotation="0" wrapText="false" indent="0" shrinkToFit="false"/>
      <protection locked="true" hidden="false"/>
    </xf>
    <xf numFmtId="169" fontId="13" fillId="0" borderId="0" xfId="19" applyFont="true" applyBorder="true" applyAlignment="true" applyProtection="true">
      <alignment horizontal="center" vertical="bottom" textRotation="0" wrapText="false" indent="0" shrinkToFit="false"/>
      <protection locked="true" hidden="false"/>
    </xf>
    <xf numFmtId="168" fontId="0" fillId="2" borderId="0" xfId="19" applyFont="true" applyBorder="true" applyAlignment="true" applyProtection="true">
      <alignment horizontal="general" vertical="bottom" textRotation="0" wrapText="false" indent="0" shrinkToFit="false"/>
      <protection locked="true" hidden="false"/>
    </xf>
    <xf numFmtId="170" fontId="13" fillId="0" borderId="0" xfId="0" applyFont="true" applyBorder="true" applyAlignment="true" applyProtection="false">
      <alignment horizontal="center" vertical="bottom" textRotation="0" wrapText="false" indent="0" shrinkToFit="false"/>
      <protection locked="true" hidden="false"/>
    </xf>
    <xf numFmtId="171" fontId="13" fillId="0" borderId="0"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72" fontId="0" fillId="2" borderId="9" xfId="0" applyFont="false" applyBorder="true" applyAlignment="true" applyProtection="false">
      <alignment horizontal="center" vertical="bottom" textRotation="0" wrapText="false" indent="0" shrinkToFit="false"/>
      <protection locked="true" hidden="false"/>
    </xf>
    <xf numFmtId="172" fontId="0" fillId="4" borderId="9" xfId="0" applyFont="false" applyBorder="true" applyAlignment="true" applyProtection="false">
      <alignment horizontal="center" vertical="bottom" textRotation="0" wrapText="false" indent="0" shrinkToFit="false"/>
      <protection locked="true" hidden="false"/>
    </xf>
    <xf numFmtId="173" fontId="0" fillId="2" borderId="0" xfId="0" applyFont="false" applyBorder="false" applyAlignment="true" applyProtection="false">
      <alignment horizontal="center" vertical="bottom" textRotation="0" wrapText="fals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64" fontId="13" fillId="2" borderId="0" xfId="0" applyFont="true" applyBorder="false" applyAlignment="true" applyProtection="false">
      <alignment horizontal="left" vertical="bottom" textRotation="0" wrapText="false" indent="15"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4" fontId="13" fillId="2" borderId="0" xfId="0" applyFont="true" applyBorder="false" applyAlignment="true" applyProtection="false">
      <alignment horizontal="center" vertical="bottom" textRotation="0" wrapText="false" indent="0" shrinkToFit="false"/>
      <protection locked="true" hidden="false"/>
    </xf>
    <xf numFmtId="167" fontId="6" fillId="6" borderId="9" xfId="0" applyFont="true" applyBorder="true" applyAlignment="true" applyProtection="false">
      <alignment horizontal="center" vertical="bottom" textRotation="0" wrapText="false" indent="0" shrinkToFit="false"/>
      <protection locked="true" hidden="false"/>
    </xf>
    <xf numFmtId="168" fontId="13" fillId="2" borderId="9" xfId="0" applyFont="true" applyBorder="true" applyAlignment="true" applyProtection="false">
      <alignment horizontal="center" vertical="bottom" textRotation="0" wrapText="false" indent="0" shrinkToFit="false"/>
      <protection locked="true" hidden="false"/>
    </xf>
    <xf numFmtId="168" fontId="13" fillId="4" borderId="9" xfId="0" applyFont="true" applyBorder="true" applyAlignment="true" applyProtection="false">
      <alignment horizontal="center" vertical="bottom" textRotation="0" wrapText="false" indent="0" shrinkToFit="false"/>
      <protection locked="true" hidden="false"/>
    </xf>
    <xf numFmtId="168" fontId="15" fillId="2" borderId="0" xfId="19" applyFont="true" applyBorder="true" applyAlignment="true" applyProtection="true">
      <alignment horizontal="center" vertical="bottom" textRotation="0" wrapText="false" indent="0" shrinkToFit="false"/>
      <protection locked="true" hidden="false"/>
    </xf>
    <xf numFmtId="165" fontId="0" fillId="2" borderId="0" xfId="19" applyFont="true" applyBorder="true" applyAlignment="true" applyProtection="true">
      <alignment horizontal="general" vertical="bottom" textRotation="0" wrapText="false" indent="0" shrinkToFit="false"/>
      <protection locked="true" hidden="false"/>
    </xf>
    <xf numFmtId="165" fontId="0" fillId="2" borderId="3" xfId="19" applyFont="true" applyBorder="true" applyAlignment="true" applyProtection="true">
      <alignment horizontal="general" vertical="bottom" textRotation="0" wrapText="false" indent="0" shrinkToFit="false"/>
      <protection locked="true" hidden="false"/>
    </xf>
    <xf numFmtId="175" fontId="13" fillId="2" borderId="9" xfId="0" applyFont="true" applyBorder="true" applyAlignment="true" applyProtection="false">
      <alignment horizontal="center" vertical="bottom" textRotation="0" wrapText="false" indent="0" shrinkToFit="false"/>
      <protection locked="true" hidden="false"/>
    </xf>
    <xf numFmtId="175" fontId="13" fillId="4" borderId="9" xfId="0" applyFont="true" applyBorder="true" applyAlignment="true" applyProtection="false">
      <alignment horizontal="center" vertical="bottom" textRotation="0" wrapText="false" indent="0" shrinkToFit="false"/>
      <protection locked="true" hidden="false"/>
    </xf>
    <xf numFmtId="174" fontId="0" fillId="0" borderId="3" xfId="0" applyFont="false" applyBorder="true" applyAlignment="false" applyProtection="false">
      <alignment horizontal="general" vertical="bottom" textRotation="0" wrapText="false" indent="0" shrinkToFit="false"/>
      <protection locked="true" hidden="false"/>
    </xf>
    <xf numFmtId="174" fontId="12" fillId="0" borderId="0" xfId="0" applyFont="true" applyBorder="false" applyAlignment="false" applyProtection="false">
      <alignment horizontal="general" vertical="bottom" textRotation="0" wrapText="false" indent="0" shrinkToFit="false"/>
      <protection locked="true" hidden="false"/>
    </xf>
    <xf numFmtId="164" fontId="12" fillId="2" borderId="0" xfId="0" applyFont="true" applyBorder="false" applyAlignment="tru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true" applyProtection="false">
      <alignment horizontal="center"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0" fillId="2" borderId="12" xfId="0" applyFont="false" applyBorder="true" applyAlignment="true" applyProtection="false">
      <alignment horizontal="center" vertical="bottom" textRotation="0" wrapText="false" indent="0" shrinkToFit="false"/>
      <protection locked="true" hidden="false"/>
    </xf>
    <xf numFmtId="166" fontId="13" fillId="0" borderId="10" xfId="0" applyFont="true" applyBorder="true" applyAlignment="true" applyProtection="false">
      <alignment horizontal="center" vertical="bottom" textRotation="0" wrapText="false" indent="0" shrinkToFit="false"/>
      <protection locked="true" hidden="false"/>
    </xf>
    <xf numFmtId="166" fontId="13" fillId="2" borderId="9" xfId="0" applyFont="true" applyBorder="true" applyAlignment="true" applyProtection="false">
      <alignment horizontal="center" vertical="bottom" textRotation="0" wrapText="false" indent="0" shrinkToFit="false"/>
      <protection locked="true" hidden="false"/>
    </xf>
    <xf numFmtId="176" fontId="12" fillId="0" borderId="0" xfId="0" applyFont="true" applyBorder="true" applyAlignment="true" applyProtection="false">
      <alignment horizontal="left" vertical="bottom" textRotation="0" wrapText="false" indent="0" shrinkToFit="false"/>
      <protection locked="true" hidden="false"/>
    </xf>
    <xf numFmtId="176" fontId="12" fillId="0" borderId="0" xfId="0" applyFont="true" applyBorder="true" applyAlignment="true" applyProtection="false">
      <alignment horizontal="center" vertical="bottom" textRotation="0" wrapText="false" indent="0" shrinkToFit="false"/>
      <protection locked="true" hidden="false"/>
    </xf>
    <xf numFmtId="164" fontId="0" fillId="2" borderId="3" xfId="0" applyFont="true" applyBorder="true" applyAlignment="true" applyProtection="false">
      <alignment horizontal="center" vertical="bottom" textRotation="0" wrapText="false" indent="0" shrinkToFit="false"/>
      <protection locked="true" hidden="false"/>
    </xf>
    <xf numFmtId="165" fontId="0" fillId="2" borderId="0" xfId="0" applyFont="false" applyBorder="false" applyAlignment="true" applyProtection="false">
      <alignment horizontal="center" vertical="bottom" textRotation="0" wrapText="false" indent="0" shrinkToFit="false"/>
      <protection locked="true" hidden="false"/>
    </xf>
    <xf numFmtId="165" fontId="0" fillId="2" borderId="3" xfId="0" applyFont="false" applyBorder="true" applyAlignment="false" applyProtection="false">
      <alignment horizontal="general" vertical="bottom" textRotation="0" wrapText="false" indent="0" shrinkToFit="false"/>
      <protection locked="true" hidden="false"/>
    </xf>
    <xf numFmtId="168" fontId="0" fillId="0" borderId="9" xfId="0" applyFont="false" applyBorder="true" applyAlignment="true" applyProtection="false">
      <alignment horizontal="center" vertical="bottom" textRotation="0" wrapText="false" indent="0" shrinkToFit="false"/>
      <protection locked="true" hidden="false"/>
    </xf>
    <xf numFmtId="177" fontId="0" fillId="2" borderId="9" xfId="0" applyFont="false" applyBorder="true" applyAlignment="true" applyProtection="false">
      <alignment horizontal="center" vertical="bottom" textRotation="0" wrapText="false" indent="0" shrinkToFit="false"/>
      <protection locked="true" hidden="false"/>
    </xf>
    <xf numFmtId="177" fontId="0" fillId="4" borderId="9" xfId="0" applyFont="false" applyBorder="true" applyAlignment="true" applyProtection="false">
      <alignment horizontal="center" vertical="bottom" textRotation="0" wrapText="false" indent="0" shrinkToFit="false"/>
      <protection locked="true" hidden="false"/>
    </xf>
    <xf numFmtId="164" fontId="14" fillId="3" borderId="0" xfId="0" applyFont="true" applyBorder="false" applyAlignment="true" applyProtection="false">
      <alignment horizontal="general" vertical="center" textRotation="0" wrapText="false" indent="0" shrinkToFit="false"/>
      <protection locked="true" hidden="false"/>
    </xf>
    <xf numFmtId="169" fontId="0" fillId="2" borderId="0" xfId="0" applyFont="false" applyBorder="false" applyAlignment="true" applyProtection="false">
      <alignment horizontal="center" vertical="bottom" textRotation="0" wrapText="false" indent="0" shrinkToFit="false"/>
      <protection locked="true" hidden="false"/>
    </xf>
    <xf numFmtId="168" fontId="0" fillId="4" borderId="9" xfId="0" applyFont="true" applyBorder="true" applyAlignment="true" applyProtection="false">
      <alignment horizontal="center" vertical="bottom" textRotation="0" wrapText="false" indent="0" shrinkToFit="false"/>
      <protection locked="true" hidden="false"/>
    </xf>
    <xf numFmtId="166" fontId="0" fillId="2" borderId="0" xfId="0" applyFont="false" applyBorder="false" applyAlignment="true" applyProtection="false">
      <alignment horizontal="center" vertical="bottom" textRotation="0" wrapText="false" indent="0" shrinkToFit="false"/>
      <protection locked="true" hidden="false"/>
    </xf>
    <xf numFmtId="168" fontId="0" fillId="2" borderId="0" xfId="19" applyFont="true" applyBorder="true" applyAlignment="true" applyProtection="true">
      <alignment horizontal="center" vertical="bottom" textRotation="0" wrapText="false" indent="0" shrinkToFit="false"/>
      <protection locked="true" hidden="false"/>
    </xf>
    <xf numFmtId="170" fontId="0" fillId="2" borderId="0" xfId="0" applyFont="false" applyBorder="false" applyAlignment="true" applyProtection="false">
      <alignment horizontal="center" vertical="bottom" textRotation="0" wrapText="false" indent="0" shrinkToFit="false"/>
      <protection locked="true" hidden="false"/>
    </xf>
    <xf numFmtId="164" fontId="13" fillId="2" borderId="1" xfId="0" applyFont="true" applyBorder="true" applyAlignment="false" applyProtection="false">
      <alignment horizontal="general" vertical="bottom" textRotation="0" wrapText="false" indent="0" shrinkToFit="false"/>
      <protection locked="true" hidden="false"/>
    </xf>
    <xf numFmtId="169" fontId="0" fillId="0" borderId="9" xfId="0" applyFont="false" applyBorder="true" applyAlignment="true" applyProtection="false">
      <alignment horizontal="center" vertical="bottom" textRotation="0" wrapText="false" indent="0" shrinkToFit="false"/>
      <protection locked="true" hidden="false"/>
    </xf>
    <xf numFmtId="165" fontId="0" fillId="2" borderId="0" xfId="19" applyFont="true" applyBorder="true" applyAlignment="true" applyProtection="true">
      <alignment horizontal="center" vertical="bottom" textRotation="0" wrapText="false" indent="0" shrinkToFit="false"/>
      <protection locked="true" hidden="false"/>
    </xf>
    <xf numFmtId="168" fontId="0" fillId="2"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10" fillId="3" borderId="13" xfId="0" applyFont="true" applyBorder="true" applyAlignment="true" applyProtection="false">
      <alignment horizontal="right" vertical="bottom" textRotation="0" wrapText="false" indent="0" shrinkToFit="false"/>
      <protection locked="true" hidden="false"/>
    </xf>
    <xf numFmtId="164" fontId="10" fillId="3" borderId="0" xfId="0" applyFont="true" applyBorder="false" applyAlignment="true" applyProtection="false">
      <alignment horizontal="center" vertical="bottom" textRotation="0" wrapText="false" indent="0" shrinkToFit="false"/>
      <protection locked="true" hidden="false"/>
    </xf>
    <xf numFmtId="164" fontId="6" fillId="3" borderId="13" xfId="0" applyFont="true" applyBorder="true" applyAlignment="true" applyProtection="false">
      <alignment horizontal="right" vertical="bottom" textRotation="0" wrapText="false" indent="0" shrinkToFit="false"/>
      <protection locked="true" hidden="false"/>
    </xf>
    <xf numFmtId="177" fontId="6" fillId="3" borderId="0" xfId="0" applyFont="true" applyBorder="false" applyAlignment="true" applyProtection="false">
      <alignment horizontal="center"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4" fontId="10" fillId="3" borderId="13" xfId="0" applyFont="true" applyBorder="true" applyAlignment="true" applyProtection="false">
      <alignment horizontal="general" vertical="center" textRotation="0" wrapText="false" indent="0" shrinkToFit="false"/>
      <protection locked="true" hidden="false"/>
    </xf>
    <xf numFmtId="179" fontId="0" fillId="0" borderId="0" xfId="15" applyFont="true" applyBorder="true" applyAlignment="true" applyProtection="true">
      <alignment horizontal="general" vertical="bottom" textRotation="0" wrapText="false" indent="0" shrinkToFit="false"/>
      <protection locked="true" hidden="false"/>
    </xf>
    <xf numFmtId="180" fontId="13" fillId="0" borderId="0" xfId="0" applyFont="true" applyBorder="true" applyAlignment="true" applyProtection="false">
      <alignment horizontal="right"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81" fontId="0" fillId="0" borderId="0" xfId="0" applyFont="false" applyBorder="false" applyAlignment="false" applyProtection="false">
      <alignment horizontal="general" vertical="bottom"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80" fontId="13" fillId="0" borderId="15" xfId="0" applyFont="true" applyBorder="true" applyAlignment="true" applyProtection="false">
      <alignment horizontal="right" vertical="bottom" textRotation="0" wrapText="false" indent="0" shrinkToFit="false"/>
      <protection locked="true" hidden="false"/>
    </xf>
    <xf numFmtId="174" fontId="13" fillId="0" borderId="10" xfId="0" applyFont="true" applyBorder="true" applyAlignment="true" applyProtection="false">
      <alignment horizontal="right" vertical="bottom" textRotation="0" wrapText="false" indent="0" shrinkToFit="false"/>
      <protection locked="true" hidden="false"/>
    </xf>
    <xf numFmtId="174" fontId="13" fillId="0" borderId="0" xfId="0" applyFont="true" applyBorder="true" applyAlignment="true" applyProtection="false">
      <alignment horizontal="right" vertical="bottom" textRotation="0" wrapText="false" indent="0" shrinkToFit="false"/>
      <protection locked="true" hidden="false"/>
    </xf>
    <xf numFmtId="180" fontId="0" fillId="0" borderId="10" xfId="0" applyFont="false" applyBorder="true" applyAlignment="false" applyProtection="false">
      <alignment horizontal="general" vertical="bottom" textRotation="0" wrapText="false" indent="0" shrinkToFit="false"/>
      <protection locked="true" hidden="false"/>
    </xf>
    <xf numFmtId="174" fontId="0" fillId="0" borderId="10" xfId="0" applyFont="false" applyBorder="true" applyAlignment="false" applyProtection="false">
      <alignment horizontal="general" vertical="bottom" textRotation="0" wrapText="false" indent="0" shrinkToFit="false"/>
      <protection locked="true" hidden="false"/>
    </xf>
    <xf numFmtId="180" fontId="13" fillId="0" borderId="10" xfId="0" applyFont="true" applyBorder="true" applyAlignment="true" applyProtection="false">
      <alignment horizontal="right"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80" fontId="4" fillId="0" borderId="0"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74" fontId="4" fillId="0" borderId="0" xfId="0" applyFont="true" applyBorder="false" applyAlignment="false" applyProtection="false">
      <alignment horizontal="general" vertical="bottom" textRotation="0" wrapText="false" indent="0" shrinkToFit="false"/>
      <protection locked="true" hidden="false"/>
    </xf>
    <xf numFmtId="180" fontId="0" fillId="0" borderId="0" xfId="0" applyFont="false" applyBorder="true" applyAlignment="false" applyProtection="false">
      <alignment horizontal="general" vertical="bottom" textRotation="0" wrapText="fals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80" fontId="0" fillId="0" borderId="0" xfId="0" applyFont="false" applyBorder="false" applyAlignment="false" applyProtection="false">
      <alignment horizontal="general" vertical="bottom" textRotation="0" wrapText="false" indent="0" shrinkToFit="false"/>
      <protection locked="true" hidden="false"/>
    </xf>
    <xf numFmtId="180" fontId="0" fillId="0" borderId="0" xfId="0" applyFont="false" applyBorder="false" applyAlignment="true" applyProtection="false">
      <alignment horizontal="center"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15" shrinkToFit="false"/>
      <protection locked="true" hidden="false"/>
    </xf>
    <xf numFmtId="174" fontId="0" fillId="0" borderId="0" xfId="0" applyFont="false" applyBorder="true" applyAlignment="false" applyProtection="false">
      <alignment horizontal="general" vertical="bottom" textRotation="0" wrapText="false" indent="0" shrinkToFit="false"/>
      <protection locked="true" hidden="false"/>
    </xf>
    <xf numFmtId="174" fontId="0" fillId="5" borderId="0"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15"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68" fontId="0" fillId="0" borderId="0" xfId="19" applyFont="true" applyBorder="true" applyAlignment="true" applyProtection="true">
      <alignment horizontal="general" vertical="bottom" textRotation="0" wrapText="false" indent="0" shrinkToFit="false"/>
      <protection locked="true" hidden="false"/>
    </xf>
    <xf numFmtId="174" fontId="0" fillId="5" borderId="0" xfId="0" applyFont="false" applyBorder="false" applyAlignment="false" applyProtection="false">
      <alignment horizontal="general" vertical="bottom" textRotation="0" wrapText="false" indent="0" shrinkToFit="false"/>
      <protection locked="true" hidden="false"/>
    </xf>
    <xf numFmtId="169" fontId="0" fillId="5" borderId="0" xfId="19" applyFont="true" applyBorder="true" applyAlignment="true" applyProtection="true">
      <alignment horizontal="general" vertical="bottom" textRotation="0" wrapText="false" indent="0" shrinkToFit="false"/>
      <protection locked="true" hidden="false"/>
    </xf>
    <xf numFmtId="169" fontId="0" fillId="0" borderId="13" xfId="19" applyFont="true" applyBorder="true" applyAlignment="true" applyProtection="true">
      <alignment horizontal="general" vertical="bottom" textRotation="0" wrapText="false" indent="0" shrinkToFit="false"/>
      <protection locked="true" hidden="false"/>
    </xf>
    <xf numFmtId="165" fontId="0" fillId="0" borderId="13" xfId="19" applyFont="true" applyBorder="true" applyAlignment="true" applyProtection="true">
      <alignment horizontal="general" vertical="bottom" textRotation="0" wrapText="false" indent="0" shrinkToFit="false"/>
      <protection locked="true" hidden="false"/>
    </xf>
    <xf numFmtId="168" fontId="0" fillId="0" borderId="13" xfId="19" applyFont="true" applyBorder="true" applyAlignment="true" applyProtection="true">
      <alignment horizontal="general" vertical="bottom" textRotation="0" wrapText="false" indent="0" shrinkToFit="false"/>
      <protection locked="true" hidden="false"/>
    </xf>
    <xf numFmtId="180" fontId="0" fillId="5" borderId="0" xfId="0" applyFont="false" applyBorder="false" applyAlignment="false" applyProtection="false">
      <alignment horizontal="general" vertical="bottom" textRotation="0" wrapText="false" indent="0" shrinkToFit="false"/>
      <protection locked="true" hidden="false"/>
    </xf>
    <xf numFmtId="169" fontId="0" fillId="0" borderId="0" xfId="19" applyFont="true" applyBorder="true" applyAlignment="true" applyProtection="true">
      <alignment horizontal="general" vertical="bottom" textRotation="0" wrapText="false" indent="0" shrinkToFit="false"/>
      <protection locked="true" hidden="false"/>
    </xf>
    <xf numFmtId="178" fontId="4" fillId="0" borderId="0" xfId="15" applyFont="true" applyBorder="true" applyAlignment="true" applyProtection="true">
      <alignment horizontal="general" vertical="bottom" textRotation="0" wrapText="false" indent="0" shrinkToFit="false"/>
      <protection locked="true" hidden="false"/>
    </xf>
    <xf numFmtId="182" fontId="0" fillId="0" borderId="0" xfId="0" applyFont="false" applyBorder="false" applyAlignment="false" applyProtection="false">
      <alignment horizontal="general" vertical="bottom" textRotation="0" wrapText="false" indent="0" shrinkToFit="false"/>
      <protection locked="true" hidden="false"/>
    </xf>
    <xf numFmtId="180" fontId="0" fillId="8" borderId="0" xfId="0" applyFont="false" applyBorder="false" applyAlignment="false" applyProtection="false">
      <alignment horizontal="general" vertical="bottom" textRotation="0" wrapText="false" indent="0" shrinkToFit="false"/>
      <protection locked="true" hidden="false"/>
    </xf>
    <xf numFmtId="180" fontId="0" fillId="0" borderId="15"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9" fontId="0" fillId="0" borderId="13" xfId="0" applyFont="false" applyBorder="tru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9" fillId="0" borderId="1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74" fontId="13" fillId="0" borderId="15" xfId="0" applyFont="true" applyBorder="true" applyAlignment="true" applyProtection="false">
      <alignment horizontal="right" vertical="bottom" textRotation="0" wrapText="false" indent="0" shrinkToFit="false"/>
      <protection locked="true" hidden="false"/>
    </xf>
    <xf numFmtId="164" fontId="19" fillId="0" borderId="13" xfId="0" applyFont="true" applyBorder="true" applyAlignment="true" applyProtection="false">
      <alignment horizontal="general" vertical="center" textRotation="0" wrapText="false" indent="0" shrinkToFit="false"/>
      <protection locked="true" hidden="false"/>
    </xf>
    <xf numFmtId="174" fontId="13" fillId="0" borderId="0" xfId="0" applyFont="true" applyBorder="false" applyAlignment="true" applyProtection="false">
      <alignment horizontal="general" vertical="center" textRotation="0" wrapText="false" indent="0" shrinkToFit="false"/>
      <protection locked="true" hidden="false"/>
    </xf>
    <xf numFmtId="164" fontId="19" fillId="0" borderId="14" xfId="0" applyFont="true" applyBorder="true" applyAlignment="true" applyProtection="false">
      <alignment horizontal="general" vertical="center" textRotation="0" wrapText="false" indent="0" shrinkToFit="false"/>
      <protection locked="true" hidden="false"/>
    </xf>
    <xf numFmtId="180" fontId="13"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3" fillId="0" borderId="10" xfId="0" applyFont="true" applyBorder="true" applyAlignment="true" applyProtection="false">
      <alignment horizontal="general" vertical="center" textRotation="0" wrapText="false" indent="0" shrinkToFit="false"/>
      <protection locked="true" hidden="false"/>
    </xf>
    <xf numFmtId="180" fontId="13" fillId="0" borderId="1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80" fontId="13"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bottom" textRotation="0" wrapText="false" indent="0" shrinkToFit="false"/>
      <protection locked="true" hidden="false"/>
    </xf>
    <xf numFmtId="17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13" xfId="0" applyFont="true" applyBorder="true" applyAlignment="false" applyProtection="false">
      <alignment horizontal="general" vertical="bottom" textRotation="0" wrapText="false" indent="0" shrinkToFit="false"/>
      <protection locked="true" hidden="false"/>
    </xf>
    <xf numFmtId="164" fontId="13" fillId="0" borderId="10" xfId="0" applyFont="true" applyBorder="true" applyAlignment="false" applyProtection="false">
      <alignment horizontal="general" vertical="bottom" textRotation="0" wrapText="false" indent="0" shrinkToFit="false"/>
      <protection locked="true" hidden="false"/>
    </xf>
    <xf numFmtId="164" fontId="13" fillId="0" borderId="10" xfId="0" applyFont="true" applyBorder="true" applyAlignment="true" applyProtection="false">
      <alignment horizontal="center" vertical="bottom" textRotation="0" wrapText="false" indent="0" shrinkToFit="false"/>
      <protection locked="true" hidden="false"/>
    </xf>
    <xf numFmtId="174" fontId="13" fillId="0" borderId="10" xfId="0" applyFont="true" applyBorder="true" applyAlignment="false" applyProtection="false">
      <alignment horizontal="general" vertical="bottom" textRotation="0" wrapText="false" indent="0" shrinkToFit="false"/>
      <protection locked="true" hidden="false"/>
    </xf>
    <xf numFmtId="164" fontId="13" fillId="0" borderId="14"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bottom" textRotation="0" wrapText="false" indent="0" shrinkToFit="false"/>
      <protection locked="true" hidden="false"/>
    </xf>
    <xf numFmtId="174" fontId="13" fillId="0" borderId="0" xfId="0" applyFont="true" applyBorder="true" applyAlignment="false" applyProtection="false">
      <alignment horizontal="general" vertical="bottom" textRotation="0" wrapText="false" indent="0" shrinkToFit="false"/>
      <protection locked="true" hidden="false"/>
    </xf>
    <xf numFmtId="164" fontId="4" fillId="0" borderId="10"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74" fontId="4" fillId="0" borderId="10" xfId="0" applyFont="true" applyBorder="true" applyAlignment="false" applyProtection="false">
      <alignment horizontal="general" vertical="bottom" textRotation="0" wrapText="false" indent="0" shrinkToFit="false"/>
      <protection locked="true" hidden="false"/>
    </xf>
    <xf numFmtId="164" fontId="4" fillId="0" borderId="10" xfId="0" applyFont="true" applyBorder="true" applyAlignment="true" applyProtection="false">
      <alignment horizontal="left"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78" fontId="0" fillId="0" borderId="0" xfId="15" applyFont="true" applyBorder="true" applyAlignment="true" applyProtection="true">
      <alignment horizontal="general" vertical="bottom" textRotation="0" wrapText="false" indent="0" shrinkToFit="false"/>
      <protection locked="true" hidden="false"/>
    </xf>
    <xf numFmtId="183" fontId="0" fillId="0" borderId="0" xfId="15" applyFont="true" applyBorder="true" applyAlignment="true" applyProtection="true">
      <alignment horizontal="general" vertical="bottom" textRotation="0" wrapText="false" indent="0" shrinkToFit="false"/>
      <protection locked="true" hidden="false"/>
    </xf>
    <xf numFmtId="172" fontId="0" fillId="0" borderId="0" xfId="19" applyFont="true" applyBorder="true" applyAlignment="true" applyProtection="true">
      <alignment horizontal="general" vertical="bottom" textRotation="0" wrapText="false" indent="0" shrinkToFit="false"/>
      <protection locked="true" hidden="false"/>
    </xf>
    <xf numFmtId="165" fontId="0" fillId="0" borderId="0" xfId="19" applyFont="true" applyBorder="true" applyAlignment="true" applyProtection="true">
      <alignment horizontal="general" vertical="bottom" textRotation="0" wrapText="false" indent="0" shrinkToFit="false"/>
      <protection locked="true" hidden="false"/>
    </xf>
    <xf numFmtId="180" fontId="0" fillId="9" borderId="16" xfId="0" applyFont="false" applyBorder="true" applyAlignment="false" applyProtection="false">
      <alignment horizontal="general" vertical="bottom" textRotation="0" wrapText="false" indent="0" shrinkToFit="false"/>
      <protection locked="true" hidden="false"/>
    </xf>
    <xf numFmtId="180" fontId="0" fillId="9" borderId="17" xfId="0" applyFont="false" applyBorder="true" applyAlignment="false" applyProtection="false">
      <alignment horizontal="general" vertical="bottom" textRotation="0" wrapText="false" indent="0" shrinkToFit="false"/>
      <protection locked="true" hidden="false"/>
    </xf>
    <xf numFmtId="180" fontId="0" fillId="9" borderId="18" xfId="0" applyFont="false" applyBorder="tru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80" fontId="0" fillId="0" borderId="0" xfId="0" applyFont="fals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9" fillId="2"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23" fillId="2" borderId="0" xfId="0" applyFont="true" applyBorder="false" applyAlignment="true" applyProtection="false">
      <alignment horizontal="center" vertical="center" textRotation="0" wrapText="true" indent="0" shrinkToFit="false"/>
      <protection locked="true" hidden="false"/>
    </xf>
    <xf numFmtId="168" fontId="4" fillId="0" borderId="0" xfId="19" applyFont="true" applyBorder="true" applyAlignment="true" applyProtection="true">
      <alignment horizontal="center" vertical="center" textRotation="0" wrapText="false" indent="0" shrinkToFit="false"/>
      <protection locked="true" hidden="false"/>
    </xf>
    <xf numFmtId="166" fontId="13" fillId="0" borderId="0" xfId="0" applyFont="true" applyBorder="true" applyAlignment="true" applyProtection="false">
      <alignment horizontal="center" vertical="center" textRotation="0" wrapText="false" indent="0" shrinkToFit="false"/>
      <protection locked="true" hidden="false"/>
    </xf>
    <xf numFmtId="170" fontId="0" fillId="0" borderId="0" xfId="0" applyFont="false" applyBorder="false" applyAlignment="true" applyProtection="false">
      <alignment horizontal="center" vertical="center" textRotation="0" wrapText="false" indent="0" shrinkToFit="false"/>
      <protection locked="true" hidden="false"/>
    </xf>
    <xf numFmtId="170" fontId="4" fillId="8" borderId="0" xfId="0" applyFont="true" applyBorder="false" applyAlignment="true" applyProtection="false">
      <alignment horizontal="center" vertical="center" textRotation="0" wrapText="false" indent="0" shrinkToFit="false"/>
      <protection locked="true" hidden="false"/>
    </xf>
    <xf numFmtId="172" fontId="0" fillId="0" borderId="0" xfId="0" applyFont="false" applyBorder="false" applyAlignment="true" applyProtection="false">
      <alignment horizontal="center" vertical="center" textRotation="0" wrapText="false" indent="0" shrinkToFit="false"/>
      <protection locked="true" hidden="false"/>
    </xf>
    <xf numFmtId="173" fontId="4" fillId="8" borderId="0" xfId="0" applyFont="true" applyBorder="false" applyAlignment="true" applyProtection="false">
      <alignment horizontal="center" vertical="center" textRotation="0" wrapText="false" indent="0" shrinkToFit="false"/>
      <protection locked="true" hidden="false"/>
    </xf>
    <xf numFmtId="181" fontId="0" fillId="0" borderId="0" xfId="0" applyFont="false" applyBorder="false" applyAlignment="true" applyProtection="false">
      <alignment horizontal="center" vertical="center" textRotation="0" wrapText="false" indent="0" shrinkToFit="false"/>
      <protection locked="true" hidden="false"/>
    </xf>
    <xf numFmtId="168" fontId="0" fillId="0" borderId="0" xfId="19" applyFont="true" applyBorder="true" applyAlignment="true" applyProtection="true">
      <alignment horizontal="center" vertical="center" textRotation="0" wrapText="false" indent="0" shrinkToFit="false"/>
      <protection locked="true" hidden="false"/>
    </xf>
    <xf numFmtId="175"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83" fontId="0" fillId="0" borderId="0" xfId="15" applyFont="true" applyBorder="true" applyAlignment="true" applyProtection="true">
      <alignment horizontal="center" vertical="center" textRotation="0" wrapText="false" indent="0" shrinkToFit="false"/>
      <protection locked="true" hidden="false"/>
    </xf>
    <xf numFmtId="166" fontId="19"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6" fontId="24" fillId="0" borderId="0" xfId="0" applyFont="true" applyBorder="true" applyAlignment="true" applyProtection="false">
      <alignment horizontal="center" vertical="center" textRotation="0" wrapText="false" indent="0" shrinkToFit="false"/>
      <protection locked="true" hidden="false"/>
    </xf>
    <xf numFmtId="166" fontId="13" fillId="0" borderId="10" xfId="0" applyFont="true" applyBorder="true" applyAlignment="true" applyProtection="false">
      <alignment horizontal="center" vertical="center" textRotation="0" wrapText="false" indent="0" shrinkToFit="false"/>
      <protection locked="true" hidden="false"/>
    </xf>
    <xf numFmtId="166" fontId="19" fillId="0" borderId="1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15" shrinkToFit="false"/>
      <protection locked="true" hidden="false"/>
    </xf>
    <xf numFmtId="168" fontId="0" fillId="8" borderId="0" xfId="19" applyFont="true" applyBorder="true" applyAlignment="true" applyProtection="true">
      <alignment horizontal="center" vertical="center"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xf numFmtId="169" fontId="13" fillId="0" borderId="0" xfId="19"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84" fontId="0" fillId="0" borderId="0" xfId="15" applyFont="true" applyBorder="true" applyAlignment="true" applyProtection="true">
      <alignment horizontal="center" vertical="center" textRotation="0" wrapText="false" indent="0" shrinkToFit="false"/>
      <protection locked="true" hidden="false"/>
    </xf>
    <xf numFmtId="180" fontId="4" fillId="5" borderId="10" xfId="0" applyFont="true" applyBorder="true" applyAlignment="false" applyProtection="false">
      <alignment horizontal="general" vertical="bottom" textRotation="0" wrapText="false" indent="0" shrinkToFit="false"/>
      <protection locked="true" hidden="false"/>
    </xf>
    <xf numFmtId="180" fontId="4" fillId="5" borderId="0" xfId="0" applyFont="true" applyBorder="false" applyAlignment="false" applyProtection="false">
      <alignment horizontal="general" vertical="bottom" textRotation="0" wrapText="false" indent="0" shrinkToFit="false"/>
      <protection locked="true" hidden="false"/>
    </xf>
    <xf numFmtId="164" fontId="13" fillId="0" borderId="19" xfId="0" applyFont="true" applyBorder="tru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8" fontId="13" fillId="0" borderId="0" xfId="0" applyFont="true" applyBorder="true" applyAlignment="true" applyProtection="false">
      <alignment horizontal="center" vertical="bottom" textRotation="0" wrapText="false" indent="0" shrinkToFit="false"/>
      <protection locked="true" hidden="false"/>
    </xf>
    <xf numFmtId="164" fontId="19" fillId="0" borderId="20" xfId="0" applyFont="true" applyBorder="true" applyAlignment="true" applyProtection="false">
      <alignment horizontal="center" vertical="center" textRotation="0" wrapText="true" indent="0" shrinkToFit="false"/>
      <protection locked="true" hidden="false"/>
    </xf>
    <xf numFmtId="164" fontId="19" fillId="0" borderId="8" xfId="0" applyFont="true" applyBorder="true" applyAlignment="true" applyProtection="false">
      <alignment horizontal="center" vertical="center" textRotation="0" wrapText="true" indent="0" shrinkToFit="false"/>
      <protection locked="true" hidden="false"/>
    </xf>
    <xf numFmtId="164" fontId="19" fillId="0" borderId="7" xfId="0" applyFont="true" applyBorder="true" applyAlignment="true" applyProtection="false">
      <alignment horizontal="center" vertical="bottom" textRotation="0" wrapText="true" indent="0" shrinkToFit="false"/>
      <protection locked="true" hidden="false"/>
    </xf>
    <xf numFmtId="164" fontId="13" fillId="0" borderId="21" xfId="0" applyFont="true" applyBorder="true" applyAlignment="false" applyProtection="false">
      <alignment horizontal="general" vertical="bottom" textRotation="0" wrapText="false" indent="0" shrinkToFit="false"/>
      <protection locked="true" hidden="false"/>
    </xf>
    <xf numFmtId="164" fontId="19" fillId="0" borderId="8" xfId="0" applyFont="true" applyBorder="true" applyAlignment="true" applyProtection="false">
      <alignment horizontal="center" vertical="bottom" textRotation="0" wrapText="true" indent="0" shrinkToFit="false"/>
      <protection locked="true" hidden="false"/>
    </xf>
    <xf numFmtId="164" fontId="19" fillId="0" borderId="20" xfId="0" applyFont="true" applyBorder="true" applyAlignment="true" applyProtection="false">
      <alignment horizontal="center" vertical="bottom" textRotation="0" wrapText="true" indent="0" shrinkToFit="false"/>
      <protection locked="true" hidden="false"/>
    </xf>
    <xf numFmtId="164" fontId="19" fillId="0" borderId="6" xfId="0" applyFont="true" applyBorder="true" applyAlignment="true" applyProtection="false">
      <alignment horizontal="center" vertical="bottom" textRotation="0" wrapText="true" indent="0" shrinkToFit="false"/>
      <protection locked="true" hidden="false"/>
    </xf>
    <xf numFmtId="164" fontId="13" fillId="0" borderId="22" xfId="0" applyFont="true" applyBorder="true" applyAlignment="true" applyProtection="false">
      <alignment horizontal="center" vertical="bottom" textRotation="0" wrapText="false" indent="0" shrinkToFit="false"/>
      <protection locked="true" hidden="false"/>
    </xf>
    <xf numFmtId="185" fontId="13" fillId="0" borderId="22" xfId="0" applyFont="true" applyBorder="true" applyAlignment="true" applyProtection="true">
      <alignment horizontal="center" vertical="bottom" textRotation="0" wrapText="false" indent="0" shrinkToFit="false"/>
      <protection locked="true" hidden="false"/>
    </xf>
    <xf numFmtId="186" fontId="13" fillId="0" borderId="22" xfId="0" applyFont="true" applyBorder="true" applyAlignment="true" applyProtection="true">
      <alignment horizontal="center" vertical="bottom" textRotation="0" wrapText="false" indent="0" shrinkToFit="false"/>
      <protection locked="true" hidden="false"/>
    </xf>
    <xf numFmtId="187" fontId="13" fillId="0" borderId="21" xfId="0" applyFont="true" applyBorder="true" applyAlignment="true" applyProtection="true">
      <alignment horizontal="center" vertical="bottom" textRotation="0" wrapText="false" indent="0" shrinkToFit="false"/>
      <protection locked="true" hidden="false"/>
    </xf>
    <xf numFmtId="186" fontId="13" fillId="0" borderId="19" xfId="0" applyFont="true" applyBorder="true" applyAlignment="true" applyProtection="true">
      <alignment horizontal="center" vertical="bottom" textRotation="0" wrapText="false" indent="0" shrinkToFit="false"/>
      <protection locked="true" hidden="false"/>
    </xf>
    <xf numFmtId="186" fontId="13" fillId="0" borderId="0" xfId="0" applyFont="true" applyBorder="true" applyAlignment="true" applyProtection="true">
      <alignment horizontal="center" vertical="bottom" textRotation="0" wrapText="false" indent="0" shrinkToFit="false"/>
      <protection locked="true" hidden="false"/>
    </xf>
    <xf numFmtId="187" fontId="13" fillId="0" borderId="22" xfId="0" applyFont="true" applyBorder="true" applyAlignment="true" applyProtection="true">
      <alignment horizontal="center" vertical="bottom" textRotation="0" wrapText="false" indent="0" shrinkToFit="false"/>
      <protection locked="true" hidden="false"/>
    </xf>
    <xf numFmtId="178" fontId="0" fillId="0" borderId="0" xfId="0" applyFont="false" applyBorder="false" applyAlignment="false" applyProtection="false">
      <alignment horizontal="general" vertical="bottom" textRotation="0" wrapText="false" indent="0" shrinkToFit="false"/>
      <protection locked="true" hidden="false"/>
    </xf>
    <xf numFmtId="186" fontId="13" fillId="0" borderId="19" xfId="0" applyFont="true" applyBorder="true" applyAlignment="false" applyProtection="false">
      <alignment horizontal="general" vertical="bottom" textRotation="0" wrapText="false" indent="0" shrinkToFit="false"/>
      <protection locked="true" hidden="false"/>
    </xf>
    <xf numFmtId="164" fontId="13" fillId="7" borderId="22" xfId="0" applyFont="true" applyBorder="true" applyAlignment="true" applyProtection="false">
      <alignment horizontal="center" vertical="bottom" textRotation="0" wrapText="false" indent="0" shrinkToFit="false"/>
      <protection locked="true" hidden="false"/>
    </xf>
    <xf numFmtId="187" fontId="13" fillId="7" borderId="21" xfId="0" applyFont="true" applyBorder="true" applyAlignment="true" applyProtection="true">
      <alignment horizontal="center" vertical="bottom" textRotation="0" wrapText="false" indent="0" shrinkToFit="false"/>
      <protection locked="true" hidden="false"/>
    </xf>
    <xf numFmtId="186" fontId="13" fillId="7" borderId="19" xfId="0" applyFont="true" applyBorder="true" applyAlignment="true" applyProtection="true">
      <alignment horizontal="center" vertical="bottom" textRotation="0" wrapText="false" indent="0" shrinkToFit="false"/>
      <protection locked="true" hidden="false"/>
    </xf>
    <xf numFmtId="186" fontId="13" fillId="7" borderId="0" xfId="0" applyFont="true" applyBorder="true" applyAlignment="true" applyProtection="true">
      <alignment horizontal="center" vertical="bottom" textRotation="0" wrapText="false" indent="0" shrinkToFit="false"/>
      <protection locked="true" hidden="false"/>
    </xf>
    <xf numFmtId="164" fontId="13" fillId="0" borderId="22" xfId="0" applyFont="true" applyBorder="true" applyAlignment="true" applyProtection="true">
      <alignment horizontal="center" vertical="bottom" textRotation="0" wrapText="false" indent="0" shrinkToFit="false"/>
      <protection locked="true" hidden="false"/>
    </xf>
    <xf numFmtId="164" fontId="13" fillId="0" borderId="23" xfId="0" applyFont="true" applyBorder="true" applyAlignment="false" applyProtection="false">
      <alignment horizontal="general" vertical="bottom" textRotation="0" wrapText="false" indent="0" shrinkToFit="false"/>
      <protection locked="true" hidden="false"/>
    </xf>
    <xf numFmtId="164" fontId="13" fillId="0" borderId="24" xfId="0" applyFont="true" applyBorder="true" applyAlignment="false" applyProtection="false">
      <alignment horizontal="general" vertical="bottom" textRotation="0" wrapText="false" indent="0" shrinkToFit="false"/>
      <protection locked="true" hidden="false"/>
    </xf>
    <xf numFmtId="164" fontId="13" fillId="0" borderId="25" xfId="0" applyFont="true" applyBorder="true" applyAlignment="false" applyProtection="false">
      <alignment horizontal="general" vertical="bottom" textRotation="0" wrapText="false" indent="0" shrinkToFit="false"/>
      <protection locked="true" hidden="false"/>
    </xf>
    <xf numFmtId="164" fontId="13" fillId="0" borderId="26" xfId="0" applyFont="true" applyBorder="true" applyAlignment="true" applyProtection="false">
      <alignment horizontal="general" vertical="bottom" textRotation="0" wrapText="tru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85" fontId="13" fillId="0" borderId="0" xfId="0" applyFont="true" applyBorder="true" applyAlignment="true" applyProtection="true">
      <alignment horizontal="center" vertical="bottom" textRotation="0" wrapText="false" indent="0" shrinkToFit="false"/>
      <protection locked="true" hidden="false"/>
    </xf>
    <xf numFmtId="186" fontId="19" fillId="0" borderId="0" xfId="0" applyFont="true" applyBorder="true" applyAlignment="true" applyProtection="true">
      <alignment horizontal="center" vertical="bottom" textRotation="0" wrapText="false" indent="0" shrinkToFit="false"/>
      <protection locked="true" hidden="false"/>
    </xf>
    <xf numFmtId="186" fontId="19" fillId="0" borderId="22" xfId="0" applyFont="true" applyBorder="true" applyAlignment="true" applyProtection="true">
      <alignment horizontal="center" vertical="bottom" textRotation="0" wrapText="false" indent="0" shrinkToFit="false"/>
      <protection locked="true" hidden="false"/>
    </xf>
    <xf numFmtId="164" fontId="13" fillId="0" borderId="0" xfId="0" applyFont="true" applyBorder="true" applyAlignment="true" applyProtection="false">
      <alignment horizontal="general" vertical="bottom" textRotation="0" wrapText="true" indent="0" shrinkToFit="false"/>
      <protection locked="true" hidden="false"/>
    </xf>
    <xf numFmtId="164" fontId="19" fillId="0" borderId="27" xfId="0" applyFont="true" applyBorder="true" applyAlignment="false" applyProtection="false">
      <alignment horizontal="general" vertical="bottom" textRotation="0" wrapText="false" indent="0" shrinkToFit="false"/>
      <protection locked="true" hidden="false"/>
    </xf>
    <xf numFmtId="164" fontId="13" fillId="0" borderId="26" xfId="0" applyFont="true" applyBorder="true" applyAlignment="false" applyProtection="false">
      <alignment horizontal="general" vertical="bottom" textRotation="0" wrapText="false" indent="0" shrinkToFit="false"/>
      <protection locked="true" hidden="false"/>
    </xf>
    <xf numFmtId="164" fontId="19" fillId="0" borderId="26" xfId="0" applyFont="true" applyBorder="true" applyAlignment="false" applyProtection="false">
      <alignment horizontal="general" vertical="bottom" textRotation="0" wrapText="false" indent="0" shrinkToFit="false"/>
      <protection locked="true" hidden="false"/>
    </xf>
    <xf numFmtId="172" fontId="19" fillId="10" borderId="28" xfId="0" applyFont="true" applyBorder="true" applyAlignment="false" applyProtection="false">
      <alignment horizontal="general" vertical="bottom" textRotation="0" wrapText="false" indent="0" shrinkToFit="false"/>
      <protection locked="true" hidden="false"/>
    </xf>
    <xf numFmtId="188" fontId="0" fillId="0" borderId="0" xfId="0" applyFont="false" applyBorder="false" applyAlignment="false" applyProtection="false">
      <alignment horizontal="general" vertical="bottom" textRotation="0" wrapText="false" indent="0" shrinkToFit="false"/>
      <protection locked="true" hidden="false"/>
    </xf>
    <xf numFmtId="164" fontId="13" fillId="0" borderId="29" xfId="0" applyFont="true" applyBorder="true" applyAlignment="false" applyProtection="false">
      <alignment horizontal="general" vertical="bottom" textRotation="0" wrapText="false" indent="0" shrinkToFit="false"/>
      <protection locked="true" hidden="false"/>
    </xf>
    <xf numFmtId="164" fontId="19" fillId="0" borderId="25" xfId="0" applyFont="true" applyBorder="true" applyAlignment="false" applyProtection="false">
      <alignment horizontal="general" vertical="bottom" textRotation="0" wrapText="false" indent="0" shrinkToFit="false"/>
      <protection locked="true" hidden="false"/>
    </xf>
    <xf numFmtId="172" fontId="19" fillId="10" borderId="24"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color rgb="FFFF000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FBFBF"/>
      <rgbColor rgb="FF808080"/>
      <rgbColor rgb="FF9999FF"/>
      <rgbColor rgb="FF993366"/>
      <rgbColor rgb="FFFFF2CC"/>
      <rgbColor rgb="FFE7E6E6"/>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ADB9CA"/>
      <rgbColor rgb="FFFF99CC"/>
      <rgbColor rgb="FFCC99FF"/>
      <rgbColor rgb="FFFFCC99"/>
      <rgbColor rgb="FF4472C4"/>
      <rgbColor rgb="FF33CCCC"/>
      <rgbColor rgb="FF99CC00"/>
      <rgbColor rgb="FFFFCC00"/>
      <rgbColor rgb="FFFF9900"/>
      <rgbColor rgb="FFED7D31"/>
      <rgbColor rgb="FF666699"/>
      <rgbColor rgb="FFA6A6A6"/>
      <rgbColor rgb="FF003366"/>
      <rgbColor rgb="FF339966"/>
      <rgbColor rgb="FF003300"/>
      <rgbColor rgb="FF333300"/>
      <rgbColor rgb="FFC55A11"/>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1:D8"/>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8" activeCellId="0" sqref="B8"/>
    </sheetView>
  </sheetViews>
  <sheetFormatPr defaultRowHeight="15"/>
  <cols>
    <col collapsed="false" hidden="false" max="2" min="1" style="0" width="33.9554655870445"/>
    <col collapsed="false" hidden="false" max="3" min="3" style="0" width="4.2834008097166"/>
    <col collapsed="false" hidden="false" max="4" min="4" style="1" width="120.82995951417"/>
    <col collapsed="false" hidden="false" max="1025" min="5" style="0" width="9.10526315789474"/>
  </cols>
  <sheetData>
    <row r="1" customFormat="false" ht="15" hidden="false" customHeight="false" outlineLevel="0" collapsed="false">
      <c r="D1" s="0"/>
    </row>
    <row r="2" customFormat="false" ht="15" hidden="false" customHeight="false" outlineLevel="0" collapsed="false">
      <c r="A2" s="2" t="s">
        <v>0</v>
      </c>
      <c r="B2" s="2" t="s">
        <v>1</v>
      </c>
      <c r="C2" s="2"/>
      <c r="D2" s="3" t="s">
        <v>2</v>
      </c>
    </row>
    <row r="3" customFormat="false" ht="15" hidden="false" customHeight="false" outlineLevel="0" collapsed="false">
      <c r="D3" s="0"/>
    </row>
    <row r="4" customFormat="false" ht="51.6" hidden="false" customHeight="true" outlineLevel="0" collapsed="false">
      <c r="A4" s="4" t="s">
        <v>3</v>
      </c>
      <c r="B4" s="4" t="s">
        <v>4</v>
      </c>
      <c r="D4" s="5" t="s">
        <v>5</v>
      </c>
    </row>
    <row r="5" customFormat="false" ht="67.9" hidden="false" customHeight="true" outlineLevel="0" collapsed="false">
      <c r="A5" s="4" t="s">
        <v>6</v>
      </c>
      <c r="B5" s="4" t="s">
        <v>4</v>
      </c>
      <c r="D5" s="5" t="s">
        <v>7</v>
      </c>
    </row>
    <row r="6" customFormat="false" ht="15" hidden="false" customHeight="false" outlineLevel="0" collapsed="false">
      <c r="A6" s="0" t="s">
        <v>8</v>
      </c>
      <c r="B6" s="6" t="s">
        <v>9</v>
      </c>
      <c r="D6" s="5" t="s">
        <v>10</v>
      </c>
    </row>
    <row r="7" customFormat="false" ht="90" hidden="false" customHeight="false" outlineLevel="0" collapsed="false">
      <c r="A7" s="4" t="s">
        <v>11</v>
      </c>
      <c r="B7" s="6" t="s">
        <v>12</v>
      </c>
      <c r="D7" s="5" t="s">
        <v>13</v>
      </c>
    </row>
    <row r="8" customFormat="false" ht="15" hidden="false" customHeight="false" outlineLevel="0" collapsed="false">
      <c r="A8" s="0" t="s">
        <v>14</v>
      </c>
      <c r="B8" s="6" t="s">
        <v>9</v>
      </c>
      <c r="D8" s="5"/>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1:153"/>
  <sheetViews>
    <sheetView windowProtection="true" showFormulas="false" showGridLines="false" showRowColHeaders="true" showZeros="true" rightToLeft="false" tabSelected="false" showOutlineSymbols="true" defaultGridColor="true" view="normal" topLeftCell="A1" colorId="64" zoomScale="85" zoomScaleNormal="85" zoomScalePageLayoutView="100" workbookViewId="0">
      <pane xSplit="0" ySplit="7" topLeftCell="A65" activePane="bottomLeft" state="frozen"/>
      <selection pane="topLeft" activeCell="A1" activeCellId="0" sqref="A1"/>
      <selection pane="bottomLeft" activeCell="L30" activeCellId="0" sqref="L30"/>
    </sheetView>
  </sheetViews>
  <sheetFormatPr defaultRowHeight="15"/>
  <cols>
    <col collapsed="false" hidden="false" max="1" min="1" style="7" width="10.9271255060729"/>
    <col collapsed="false" hidden="false" max="2" min="2" style="7" width="4.49797570850202"/>
    <col collapsed="false" hidden="false" max="3" min="3" style="7" width="2.1417004048583"/>
    <col collapsed="false" hidden="false" max="4" min="4" style="7" width="32.9919028340081"/>
    <col collapsed="false" hidden="false" max="5" min="5" style="7" width="8.89068825910931"/>
    <col collapsed="false" hidden="false" max="6" min="6" style="8" width="13.497975708502"/>
    <col collapsed="false" hidden="false" max="7" min="7" style="8" width="7.2834008097166"/>
    <col collapsed="false" hidden="false" max="8" min="8" style="9" width="7.49797570850202"/>
    <col collapsed="false" hidden="false" max="9" min="9" style="8" width="14.1417004048583"/>
    <col collapsed="false" hidden="false" max="10" min="10" style="8" width="3.64372469635628"/>
    <col collapsed="false" hidden="false" max="18" min="11" style="8" width="14.1417004048583"/>
    <col collapsed="false" hidden="false" max="19" min="19" style="10" width="1.92712550607287"/>
    <col collapsed="false" hidden="false" max="20" min="20" style="8" width="11.6761133603239"/>
    <col collapsed="false" hidden="false" max="22" min="21" style="7" width="8.89068825910931"/>
    <col collapsed="false" hidden="false" max="23" min="23" style="11" width="12.8542510121458"/>
    <col collapsed="false" hidden="false" max="24" min="24" style="7" width="1.39271255060729"/>
    <col collapsed="false" hidden="false" max="27" min="25" style="12" width="8.89068825910931"/>
    <col collapsed="false" hidden="false" max="28" min="28" style="12" width="17.1376518218624"/>
    <col collapsed="false" hidden="false" max="29" min="29" style="12" width="8.89068825910931"/>
    <col collapsed="false" hidden="false" max="30" min="30" style="7" width="1.71255060728745"/>
    <col collapsed="false" hidden="false" max="31" min="31" style="13" width="10.497975708502"/>
    <col collapsed="false" hidden="false" max="32" min="32" style="7" width="8.89068825910931"/>
    <col collapsed="false" hidden="true" max="1025" min="33" style="7" width="0"/>
  </cols>
  <sheetData>
    <row r="1" s="14" customFormat="true" ht="14.65" hidden="false" customHeight="true" outlineLevel="0" collapsed="false">
      <c r="A1" s="14" t="s">
        <v>15</v>
      </c>
      <c r="F1" s="15"/>
      <c r="G1" s="15"/>
      <c r="H1" s="16"/>
      <c r="I1" s="15"/>
      <c r="J1" s="15"/>
      <c r="K1" s="17"/>
      <c r="L1" s="18" t="s">
        <v>16</v>
      </c>
      <c r="M1" s="18"/>
      <c r="N1" s="18"/>
      <c r="O1" s="18"/>
      <c r="P1" s="18"/>
      <c r="Q1" s="18"/>
      <c r="R1" s="18"/>
      <c r="S1" s="19"/>
      <c r="T1" s="15"/>
      <c r="W1" s="20"/>
      <c r="Y1" s="21"/>
      <c r="Z1" s="21"/>
      <c r="AA1" s="21"/>
      <c r="AB1" s="21"/>
      <c r="AC1" s="21"/>
      <c r="AE1" s="22"/>
    </row>
    <row r="2" customFormat="false" ht="14.65" hidden="false" customHeight="true" outlineLevel="0" collapsed="false">
      <c r="A2" s="14" t="s">
        <v>17</v>
      </c>
      <c r="B2" s="14"/>
      <c r="C2" s="14"/>
      <c r="D2" s="14"/>
      <c r="E2" s="14"/>
      <c r="F2" s="15"/>
      <c r="G2" s="15"/>
      <c r="H2" s="16"/>
      <c r="I2" s="15"/>
      <c r="J2" s="15"/>
      <c r="K2" s="23"/>
      <c r="L2" s="18"/>
      <c r="M2" s="18"/>
      <c r="N2" s="18"/>
      <c r="O2" s="18"/>
      <c r="P2" s="18"/>
      <c r="Q2" s="18"/>
      <c r="R2" s="18"/>
      <c r="S2" s="19"/>
      <c r="T2" s="15"/>
      <c r="U2" s="0"/>
      <c r="V2" s="0"/>
      <c r="W2" s="20"/>
      <c r="X2" s="0"/>
      <c r="Y2" s="21"/>
      <c r="Z2" s="21"/>
      <c r="AA2" s="21"/>
      <c r="AB2" s="21"/>
      <c r="AC2" s="21"/>
      <c r="AD2" s="0"/>
      <c r="AE2" s="22"/>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14" t="s">
        <v>18</v>
      </c>
      <c r="B3" s="14"/>
      <c r="C3" s="14"/>
      <c r="D3" s="14"/>
      <c r="E3" s="14"/>
      <c r="F3" s="15"/>
      <c r="G3" s="15"/>
      <c r="H3" s="16"/>
      <c r="I3" s="15"/>
      <c r="J3" s="15"/>
      <c r="K3" s="15" t="s">
        <v>19</v>
      </c>
      <c r="L3" s="15"/>
      <c r="M3" s="15"/>
      <c r="N3" s="15"/>
      <c r="O3" s="15"/>
      <c r="P3" s="15"/>
      <c r="Q3" s="15"/>
      <c r="R3" s="15"/>
      <c r="S3" s="19"/>
      <c r="T3" s="15"/>
      <c r="U3" s="0"/>
      <c r="V3" s="0"/>
      <c r="W3" s="20"/>
      <c r="X3" s="0"/>
      <c r="Y3" s="21"/>
      <c r="Z3" s="21"/>
      <c r="AA3" s="21"/>
      <c r="AB3" s="21"/>
      <c r="AC3" s="21"/>
      <c r="AD3" s="0"/>
      <c r="AE3" s="22"/>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false" outlineLevel="0" collapsed="false">
      <c r="A4" s="14" t="e">
        <f aca="false">'Balance Sheet'!$G$86</f>
        <v>#VALUE!</v>
      </c>
      <c r="B4" s="14"/>
      <c r="C4" s="14"/>
      <c r="D4" s="14"/>
      <c r="E4" s="14"/>
      <c r="F4" s="15"/>
      <c r="G4" s="15"/>
      <c r="H4" s="16"/>
      <c r="I4" s="15"/>
      <c r="J4" s="15"/>
      <c r="K4" s="15" t="n">
        <v>1</v>
      </c>
      <c r="L4" s="15" t="n">
        <v>2</v>
      </c>
      <c r="M4" s="15" t="n">
        <v>3</v>
      </c>
      <c r="N4" s="15" t="n">
        <v>4</v>
      </c>
      <c r="O4" s="15" t="n">
        <v>5</v>
      </c>
      <c r="P4" s="15" t="n">
        <v>6</v>
      </c>
      <c r="Q4" s="15" t="n">
        <v>7</v>
      </c>
      <c r="R4" s="15" t="n">
        <v>8</v>
      </c>
      <c r="S4" s="19"/>
      <c r="T4" s="15"/>
      <c r="U4" s="0"/>
      <c r="V4" s="0"/>
      <c r="W4" s="20"/>
      <c r="X4" s="0"/>
      <c r="Y4" s="21"/>
      <c r="Z4" s="21"/>
      <c r="AA4" s="21"/>
      <c r="AB4" s="21"/>
      <c r="AC4" s="21"/>
      <c r="AD4" s="0"/>
      <c r="AE4" s="22"/>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6"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45.75" hidden="false" customHeight="true" outlineLevel="0" collapsed="false">
      <c r="A6" s="0"/>
      <c r="B6" s="0"/>
      <c r="C6" s="0"/>
      <c r="D6" s="24"/>
      <c r="E6" s="25" t="s">
        <v>20</v>
      </c>
      <c r="F6" s="26" t="n">
        <v>1</v>
      </c>
      <c r="G6" s="0"/>
      <c r="H6" s="0"/>
      <c r="I6" s="27" t="s">
        <v>21</v>
      </c>
      <c r="J6" s="0"/>
      <c r="K6" s="28" t="str">
        <f aca="false">K76&amp;" years, "&amp;(K130+K131)*100&amp;" pct minority, "&amp;ROUND(K28,0)&amp;"c LT, "&amp;IF(K139&gt;0,"SH Loan","")</f>
        <v>20 years, 25 pct minority, 14c LT,</v>
      </c>
      <c r="L6" s="28" t="str">
        <f aca="false">L76&amp;" years, "&amp;(L130+L131)*100&amp;" pct minority, "&amp;ROUND(L28,0)&amp;"c LT, "&amp;IF(L139&gt;0,"SH Loan","")</f>
        <v>20 years, 25 pct minority, 14c LT,</v>
      </c>
      <c r="M6" s="28" t="str">
        <f aca="false">M76&amp;" years, "&amp;(M130+M131)*100&amp;" pct minority, "&amp;ROUND(M28,0)&amp;"c LT, "&amp;IF(M139&gt;0,"SH Loan","")</f>
        <v>20 years, 25 pct minority, 14c LT,</v>
      </c>
      <c r="N6" s="28" t="str">
        <f aca="false">N76&amp;" years, "&amp;(N130+N131)*100&amp;" pct minority, "&amp;ROUND(N28,0)&amp;"c LT, "&amp;IF(N139&gt;0,"SH Loan","")</f>
        <v>20 years, 25 pct minority, 13c LT,</v>
      </c>
      <c r="O6" s="28" t="str">
        <f aca="false">O76&amp;" years, "&amp;(O130+O131)*100&amp;" pct minority, "&amp;ROUND(O28,0)&amp;"c LT, "&amp;IF(O139&gt;0,"SH Loan","")</f>
        <v>20 years, 25 pct minority, 14c LT,</v>
      </c>
      <c r="P6" s="28" t="str">
        <f aca="false">P76&amp;" years, "&amp;(P130+P131)*100&amp;" pct minority, "&amp;ROUND(P28,0)&amp;"c LT, "&amp;IF(P139&gt;0,"SH Loan","")</f>
        <v>20 years, 25 pct minority, 14c LT,</v>
      </c>
      <c r="Q6" s="28" t="str">
        <f aca="false">Q76&amp;" years, "&amp;(Q130+Q131)*100&amp;" pct minority, "&amp;ROUND(Q28,0)&amp;"c LT, "&amp;IF(Q139&gt;0,"SH Loan","")</f>
        <v>20 years, 25 pct minority, 14c LT,</v>
      </c>
      <c r="R6" s="28" t="str">
        <f aca="false">R76&amp;" years, "&amp;(R130+R131)*100&amp;" pct minority, "&amp;ROUND(R28,0)&amp;"c LT, "&amp;IF(R139&gt;0,"SH Loan","")</f>
        <v>20 years, 25 pct minority, 13c LT,</v>
      </c>
      <c r="S6" s="0"/>
      <c r="T6" s="8" t="s">
        <v>22</v>
      </c>
      <c r="U6" s="0"/>
      <c r="V6" s="0"/>
      <c r="W6" s="0"/>
      <c r="X6" s="0"/>
      <c r="Y6" s="29"/>
      <c r="Z6" s="29"/>
      <c r="AA6" s="29"/>
      <c r="AB6" s="29"/>
      <c r="AC6" s="29"/>
      <c r="AD6" s="29"/>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6"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30" customFormat="true" ht="16.9" hidden="false" customHeight="true" outlineLevel="0" collapsed="false">
      <c r="A8" s="30" t="n">
        <v>1</v>
      </c>
      <c r="D8" s="30" t="s">
        <v>23</v>
      </c>
      <c r="F8" s="31"/>
      <c r="G8" s="31"/>
      <c r="H8" s="32"/>
      <c r="I8" s="31"/>
      <c r="J8" s="31"/>
      <c r="K8" s="31"/>
      <c r="L8" s="31"/>
      <c r="M8" s="31"/>
      <c r="N8" s="31"/>
      <c r="O8" s="31"/>
      <c r="P8" s="31"/>
      <c r="Q8" s="31"/>
      <c r="R8" s="31"/>
      <c r="S8" s="33"/>
      <c r="T8" s="31"/>
      <c r="W8" s="34"/>
      <c r="Y8" s="35"/>
      <c r="Z8" s="35"/>
      <c r="AA8" s="35"/>
      <c r="AB8" s="35"/>
      <c r="AC8" s="35"/>
      <c r="AE8" s="36"/>
    </row>
    <row r="9" customFormat="false" ht="15" hidden="false" customHeight="false" outlineLevel="0" collapsed="false">
      <c r="A9" s="0"/>
      <c r="B9" s="0"/>
      <c r="C9" s="0"/>
      <c r="D9" s="0"/>
      <c r="E9" s="0"/>
      <c r="F9" s="0"/>
      <c r="G9" s="0"/>
      <c r="H9" s="0"/>
      <c r="I9" s="0"/>
      <c r="J9" s="0"/>
      <c r="K9" s="37" t="s">
        <v>24</v>
      </c>
      <c r="L9" s="37" t="s">
        <v>24</v>
      </c>
      <c r="M9" s="37" t="s">
        <v>24</v>
      </c>
      <c r="N9" s="37" t="s">
        <v>24</v>
      </c>
      <c r="O9" s="37" t="s">
        <v>24</v>
      </c>
      <c r="P9" s="37" t="s">
        <v>24</v>
      </c>
      <c r="Q9" s="37" t="s">
        <v>25</v>
      </c>
      <c r="R9" s="37" t="s">
        <v>25</v>
      </c>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 hidden="false" customHeight="false" outlineLevel="0" collapsed="false">
      <c r="A10" s="0"/>
      <c r="B10" s="38" t="n">
        <f aca="false">(MAX($A$7:B9)+0.1)</f>
        <v>1.1</v>
      </c>
      <c r="C10" s="38"/>
      <c r="D10" s="38" t="s">
        <v>26</v>
      </c>
      <c r="E10" s="0"/>
      <c r="F10" s="0"/>
      <c r="G10" s="0"/>
      <c r="H10" s="0"/>
      <c r="I10" s="0"/>
      <c r="J10" s="0"/>
      <c r="K10" s="0"/>
      <c r="L10" s="0"/>
      <c r="M10" s="0"/>
      <c r="N10" s="0"/>
      <c r="O10" s="0"/>
      <c r="P10" s="0"/>
      <c r="Q10" s="0"/>
      <c r="R10" s="0"/>
      <c r="S10" s="0"/>
      <c r="T10" s="0"/>
      <c r="U10" s="0"/>
      <c r="V10" s="0"/>
      <c r="W10" s="0"/>
      <c r="X10" s="0"/>
      <c r="Y10" s="39"/>
      <c r="Z10" s="39"/>
      <c r="AA10" s="39"/>
      <c r="AB10" s="39"/>
      <c r="AC10" s="39"/>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false" outlineLevel="0" collapsed="false">
      <c r="A11" s="0"/>
      <c r="B11" s="0"/>
      <c r="C11" s="0"/>
      <c r="D11" s="7" t="s">
        <v>27</v>
      </c>
      <c r="E11" s="0"/>
      <c r="F11" s="8" t="s">
        <v>28</v>
      </c>
      <c r="G11" s="0"/>
      <c r="H11" s="0"/>
      <c r="I11" s="40" t="n">
        <f aca="false">INDEX(K11:R11,,$F$6)</f>
        <v>20</v>
      </c>
      <c r="J11" s="0"/>
      <c r="K11" s="41" t="n">
        <v>20</v>
      </c>
      <c r="L11" s="41" t="n">
        <v>20</v>
      </c>
      <c r="M11" s="41" t="n">
        <v>20</v>
      </c>
      <c r="N11" s="41" t="n">
        <v>20</v>
      </c>
      <c r="O11" s="41" t="n">
        <v>20</v>
      </c>
      <c r="P11" s="41" t="n">
        <v>20</v>
      </c>
      <c r="Q11" s="41" t="n">
        <v>20</v>
      </c>
      <c r="R11" s="41" t="n">
        <v>20</v>
      </c>
      <c r="S11" s="0"/>
      <c r="T11" s="0"/>
      <c r="U11" s="42"/>
      <c r="V11" s="42"/>
      <c r="W11" s="43"/>
      <c r="X11" s="42"/>
      <c r="Y11" s="39"/>
      <c r="Z11" s="39"/>
      <c r="AA11" s="39"/>
      <c r="AB11" s="39"/>
      <c r="AC11" s="39"/>
      <c r="AD11" s="0"/>
      <c r="AE11" s="13" t="s">
        <v>29</v>
      </c>
      <c r="AF11" s="7" t="n">
        <v>0</v>
      </c>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 hidden="false" customHeight="false" outlineLevel="0" collapsed="false">
      <c r="A12" s="0"/>
      <c r="B12" s="0"/>
      <c r="C12" s="0"/>
      <c r="D12" s="7" t="s">
        <v>30</v>
      </c>
      <c r="E12" s="0"/>
      <c r="F12" s="8" t="s">
        <v>31</v>
      </c>
      <c r="G12" s="0"/>
      <c r="H12" s="0"/>
      <c r="I12" s="44" t="n">
        <f aca="false">INDEX(K12:R12,,$F$6)</f>
        <v>127210</v>
      </c>
      <c r="J12" s="0"/>
      <c r="K12" s="45" t="n">
        <v>127210</v>
      </c>
      <c r="L12" s="45" t="n">
        <f aca="false">K12</f>
        <v>127210</v>
      </c>
      <c r="M12" s="45" t="n">
        <f aca="false">L12</f>
        <v>127210</v>
      </c>
      <c r="N12" s="45" t="n">
        <f aca="false">M12</f>
        <v>127210</v>
      </c>
      <c r="O12" s="45" t="n">
        <f aca="false">N12</f>
        <v>127210</v>
      </c>
      <c r="P12" s="45" t="n">
        <f aca="false">O12</f>
        <v>127210</v>
      </c>
      <c r="Q12" s="45" t="n">
        <f aca="false">P12</f>
        <v>127210</v>
      </c>
      <c r="R12" s="45" t="n">
        <f aca="false">Q12</f>
        <v>127210</v>
      </c>
      <c r="S12" s="0"/>
      <c r="T12" s="0"/>
      <c r="U12" s="42"/>
      <c r="V12" s="42"/>
      <c r="W12" s="43"/>
      <c r="X12" s="42"/>
      <c r="Y12" s="39"/>
      <c r="Z12" s="39"/>
      <c r="AA12" s="39"/>
      <c r="AB12" s="39"/>
      <c r="AC12" s="39"/>
      <c r="AD12" s="0"/>
      <c r="AE12" s="13" t="s">
        <v>32</v>
      </c>
      <c r="AF12" s="7" t="n">
        <v>-0.67</v>
      </c>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false" outlineLevel="0" collapsed="false">
      <c r="A13" s="0"/>
      <c r="B13" s="0"/>
      <c r="C13" s="0"/>
      <c r="D13" s="7" t="s">
        <v>33</v>
      </c>
      <c r="E13" s="0"/>
      <c r="F13" s="8" t="s">
        <v>34</v>
      </c>
      <c r="G13" s="0"/>
      <c r="H13" s="0"/>
      <c r="I13" s="46" t="n">
        <f aca="false">INDEX(K13:R13,,$F$6)</f>
        <v>0.1573</v>
      </c>
      <c r="J13" s="0"/>
      <c r="K13" s="47" t="n">
        <v>0.1573</v>
      </c>
      <c r="L13" s="47" t="n">
        <f aca="false">K13</f>
        <v>0.1573</v>
      </c>
      <c r="M13" s="47" t="n">
        <f aca="false">K13</f>
        <v>0.1573</v>
      </c>
      <c r="N13" s="47" t="n">
        <f aca="false">K13</f>
        <v>0.1573</v>
      </c>
      <c r="O13" s="47" t="n">
        <f aca="false">K13</f>
        <v>0.1573</v>
      </c>
      <c r="P13" s="47" t="n">
        <f aca="false">K13</f>
        <v>0.1573</v>
      </c>
      <c r="Q13" s="47" t="n">
        <f aca="false">K13</f>
        <v>0.1573</v>
      </c>
      <c r="R13" s="47" t="n">
        <f aca="false">K13</f>
        <v>0.1573</v>
      </c>
      <c r="S13" s="0"/>
      <c r="T13" s="0"/>
      <c r="U13" s="0"/>
      <c r="V13" s="0"/>
      <c r="W13" s="0"/>
      <c r="X13" s="0"/>
      <c r="Y13" s="39"/>
      <c r="Z13" s="39"/>
      <c r="AA13" s="39"/>
      <c r="AB13" s="39"/>
      <c r="AC13" s="39"/>
      <c r="AD13" s="0"/>
      <c r="AE13" s="13" t="s">
        <v>35</v>
      </c>
      <c r="AF13" s="7" t="n">
        <v>-1.28</v>
      </c>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 hidden="false" customHeight="false" outlineLevel="0" collapsed="false">
      <c r="A14" s="0"/>
      <c r="B14" s="0"/>
      <c r="C14" s="0"/>
      <c r="D14" s="7" t="s">
        <v>36</v>
      </c>
      <c r="E14" s="0"/>
      <c r="F14" s="8" t="s">
        <v>37</v>
      </c>
      <c r="G14" s="0"/>
      <c r="H14" s="0"/>
      <c r="I14" s="44" t="n">
        <v>1898</v>
      </c>
      <c r="J14" s="0"/>
      <c r="K14" s="45" t="n">
        <v>1828</v>
      </c>
      <c r="L14" s="45" t="n">
        <v>1828</v>
      </c>
      <c r="M14" s="45" t="n">
        <f aca="false">L14</f>
        <v>1828</v>
      </c>
      <c r="N14" s="45" t="n">
        <f aca="false">M14</f>
        <v>1828</v>
      </c>
      <c r="O14" s="45" t="n">
        <f aca="false">N14</f>
        <v>1828</v>
      </c>
      <c r="P14" s="45" t="n">
        <f aca="false">O14</f>
        <v>1828</v>
      </c>
      <c r="Q14" s="45" t="n">
        <f aca="false">P14</f>
        <v>1828</v>
      </c>
      <c r="R14" s="45" t="n">
        <f aca="false">Q14</f>
        <v>1828</v>
      </c>
      <c r="S14" s="0"/>
      <c r="T14" s="0"/>
      <c r="U14" s="0"/>
      <c r="V14" s="48"/>
      <c r="W14" s="49"/>
      <c r="X14" s="0"/>
      <c r="Y14" s="39"/>
      <c r="Z14" s="39"/>
      <c r="AA14" s="39"/>
      <c r="AB14" s="39"/>
      <c r="AC14" s="39"/>
      <c r="AD14" s="0"/>
      <c r="AE14" s="13" t="s">
        <v>38</v>
      </c>
      <c r="AF14" s="7" t="n">
        <v>-1.64</v>
      </c>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 hidden="false" customHeight="false" outlineLevel="0" collapsed="false">
      <c r="A15" s="0"/>
      <c r="B15" s="0"/>
      <c r="C15" s="0"/>
      <c r="D15" s="7" t="s">
        <v>39</v>
      </c>
      <c r="E15" s="0"/>
      <c r="F15" s="8" t="s">
        <v>34</v>
      </c>
      <c r="G15" s="0"/>
      <c r="H15" s="0"/>
      <c r="I15" s="50" t="n">
        <f aca="false">INDEX(K15:R15,,$F$6)</f>
        <v>0.805</v>
      </c>
      <c r="J15" s="0"/>
      <c r="K15" s="51" t="n">
        <v>0.805</v>
      </c>
      <c r="L15" s="51" t="n">
        <v>0.805</v>
      </c>
      <c r="M15" s="51" t="n">
        <f aca="false">L15</f>
        <v>0.805</v>
      </c>
      <c r="N15" s="51" t="n">
        <f aca="false">M15</f>
        <v>0.805</v>
      </c>
      <c r="O15" s="51" t="n">
        <f aca="false">N15</f>
        <v>0.805</v>
      </c>
      <c r="P15" s="51" t="n">
        <f aca="false">O15</f>
        <v>0.805</v>
      </c>
      <c r="Q15" s="51" t="n">
        <f aca="false">P15</f>
        <v>0.805</v>
      </c>
      <c r="R15" s="51" t="n">
        <f aca="false">Q15</f>
        <v>0.805</v>
      </c>
      <c r="S15" s="0"/>
      <c r="T15" s="0"/>
      <c r="U15" s="0"/>
      <c r="V15" s="48"/>
      <c r="W15" s="0"/>
      <c r="X15" s="0"/>
      <c r="Y15" s="39"/>
      <c r="Z15" s="39"/>
      <c r="AA15" s="39"/>
      <c r="AB15" s="39"/>
      <c r="AC15" s="39"/>
      <c r="AD15" s="0"/>
      <c r="AE15" s="13" t="s">
        <v>40</v>
      </c>
      <c r="AF15" s="7" t="n">
        <v>-2.35</v>
      </c>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false" outlineLevel="0" collapsed="false">
      <c r="A16" s="0"/>
      <c r="B16" s="0"/>
      <c r="C16" s="0"/>
      <c r="D16" s="7" t="s">
        <v>41</v>
      </c>
      <c r="E16" s="0"/>
      <c r="F16" s="8" t="s">
        <v>34</v>
      </c>
      <c r="G16" s="0"/>
      <c r="H16" s="0"/>
      <c r="I16" s="50" t="n">
        <f aca="false">INDEX(K16:R16,,$F$6)</f>
        <v>0.003</v>
      </c>
      <c r="J16" s="0"/>
      <c r="K16" s="51" t="n">
        <v>0.003</v>
      </c>
      <c r="L16" s="51" t="n">
        <f aca="false">K16</f>
        <v>0.003</v>
      </c>
      <c r="M16" s="51" t="n">
        <f aca="false">K16</f>
        <v>0.003</v>
      </c>
      <c r="N16" s="51" t="n">
        <f aca="false">K16</f>
        <v>0.003</v>
      </c>
      <c r="O16" s="51" t="n">
        <f aca="false">K16</f>
        <v>0.003</v>
      </c>
      <c r="P16" s="51" t="n">
        <f aca="false">K16</f>
        <v>0.003</v>
      </c>
      <c r="Q16" s="51" t="n">
        <f aca="false">K16</f>
        <v>0.003</v>
      </c>
      <c r="R16" s="51" t="n">
        <f aca="false">K16</f>
        <v>0.003</v>
      </c>
      <c r="S16" s="0"/>
      <c r="T16" s="0"/>
      <c r="U16" s="0"/>
      <c r="V16" s="48"/>
      <c r="W16" s="0"/>
      <c r="X16" s="0"/>
      <c r="Y16" s="39"/>
      <c r="Z16" s="39"/>
      <c r="AA16" s="39"/>
      <c r="AB16" s="39"/>
      <c r="AC16" s="39"/>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false" outlineLevel="0" collapsed="false">
      <c r="A17" s="0"/>
      <c r="B17" s="0"/>
      <c r="C17" s="0"/>
      <c r="D17" s="7" t="s">
        <v>42</v>
      </c>
      <c r="E17" s="0"/>
      <c r="F17" s="8" t="s">
        <v>34</v>
      </c>
      <c r="G17" s="0"/>
      <c r="H17" s="0"/>
      <c r="I17" s="50" t="n">
        <f aca="false">INDEX(K17:R17,,$F$6)</f>
        <v>0.025</v>
      </c>
      <c r="J17" s="0"/>
      <c r="K17" s="51" t="n">
        <v>0.025</v>
      </c>
      <c r="L17" s="51" t="n">
        <v>0.025</v>
      </c>
      <c r="M17" s="51" t="n">
        <f aca="false">K17</f>
        <v>0.025</v>
      </c>
      <c r="N17" s="51" t="n">
        <f aca="false">K17</f>
        <v>0.025</v>
      </c>
      <c r="O17" s="51" t="n">
        <f aca="false">K17</f>
        <v>0.025</v>
      </c>
      <c r="P17" s="51" t="n">
        <f aca="false">K17</f>
        <v>0.025</v>
      </c>
      <c r="Q17" s="51" t="n">
        <f aca="false">K17</f>
        <v>0.025</v>
      </c>
      <c r="R17" s="51" t="n">
        <f aca="false">K17</f>
        <v>0.025</v>
      </c>
      <c r="S17" s="0"/>
      <c r="T17" s="0"/>
      <c r="U17" s="0"/>
      <c r="V17" s="48"/>
      <c r="W17" s="0"/>
      <c r="X17" s="0"/>
      <c r="Y17" s="39"/>
      <c r="Z17" s="39"/>
      <c r="AA17" s="39"/>
      <c r="AB17" s="39"/>
      <c r="AC17" s="39"/>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false" outlineLevel="0" collapsed="false">
      <c r="A18" s="0"/>
      <c r="B18" s="0"/>
      <c r="C18" s="0"/>
      <c r="D18" s="7" t="s">
        <v>43</v>
      </c>
      <c r="E18" s="0"/>
      <c r="F18" s="8" t="s">
        <v>44</v>
      </c>
      <c r="G18" s="0"/>
      <c r="H18" s="0"/>
      <c r="I18" s="40" t="str">
        <f aca="false">INDEX(K18:R18,,$F$6)</f>
        <v>P90</v>
      </c>
      <c r="J18" s="0"/>
      <c r="K18" s="52" t="s">
        <v>35</v>
      </c>
      <c r="L18" s="52" t="s">
        <v>35</v>
      </c>
      <c r="M18" s="52" t="s">
        <v>35</v>
      </c>
      <c r="N18" s="52" t="s">
        <v>35</v>
      </c>
      <c r="O18" s="52" t="s">
        <v>35</v>
      </c>
      <c r="P18" s="52" t="s">
        <v>35</v>
      </c>
      <c r="Q18" s="52" t="s">
        <v>35</v>
      </c>
      <c r="R18" s="52" t="s">
        <v>35</v>
      </c>
      <c r="S18" s="0"/>
      <c r="T18" s="42"/>
      <c r="U18" s="0"/>
      <c r="V18" s="53"/>
      <c r="W18" s="0"/>
      <c r="X18" s="0"/>
      <c r="Y18" s="39"/>
      <c r="Z18" s="39"/>
      <c r="AA18" s="39"/>
      <c r="AB18" s="39"/>
      <c r="AC18" s="39"/>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 hidden="false" customHeight="false" outlineLevel="0" collapsed="false">
      <c r="A19" s="0"/>
      <c r="B19" s="0"/>
      <c r="C19" s="0"/>
      <c r="D19" s="7" t="s">
        <v>45</v>
      </c>
      <c r="E19" s="0"/>
      <c r="F19" s="8" t="s">
        <v>46</v>
      </c>
      <c r="G19" s="0"/>
      <c r="H19" s="0"/>
      <c r="I19" s="0"/>
      <c r="J19" s="0"/>
      <c r="K19" s="0"/>
      <c r="L19" s="0"/>
      <c r="M19" s="0"/>
      <c r="N19" s="0"/>
      <c r="O19" s="0"/>
      <c r="P19" s="0"/>
      <c r="Q19" s="0"/>
      <c r="R19" s="0"/>
      <c r="S19" s="0"/>
      <c r="T19" s="54" t="n">
        <f aca="false">Panel_area*Panel_yield*annual_irradiation*PR*(1-TL_Losses)*(1+VLOOKUP(I18,AE11:AF15,2)*I17)</f>
        <v>29506152.2706245</v>
      </c>
      <c r="U19" s="42"/>
      <c r="V19" s="48"/>
      <c r="W19" s="0"/>
      <c r="X19" s="0"/>
      <c r="Y19" s="55"/>
      <c r="Z19" s="39"/>
      <c r="AA19" s="39"/>
      <c r="AB19" s="39"/>
      <c r="AC19" s="39"/>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0"/>
      <c r="B20" s="0"/>
      <c r="C20" s="0"/>
      <c r="D20" s="7" t="s">
        <v>47</v>
      </c>
      <c r="E20" s="0"/>
      <c r="F20" s="8" t="s">
        <v>46</v>
      </c>
      <c r="G20" s="0"/>
      <c r="H20" s="0"/>
      <c r="I20" s="0"/>
      <c r="J20" s="0"/>
      <c r="K20" s="0"/>
      <c r="L20" s="0"/>
      <c r="M20" s="0"/>
      <c r="N20" s="0"/>
      <c r="O20" s="0"/>
      <c r="P20" s="0"/>
      <c r="Q20" s="0"/>
      <c r="R20" s="0"/>
      <c r="S20" s="0"/>
      <c r="T20" s="54" t="n">
        <f aca="false">Panel_area*Panel_yield*annual_irradiation*PR*(1+VLOOKUP(I18,AE11:AF15,2)*I17)</f>
        <v>29594937.0818702</v>
      </c>
      <c r="U20" s="42"/>
      <c r="V20" s="48"/>
      <c r="W20" s="0"/>
      <c r="X20" s="0"/>
      <c r="Y20" s="55"/>
      <c r="Z20" s="39"/>
      <c r="AA20" s="39"/>
      <c r="AB20" s="39"/>
      <c r="AC20" s="39"/>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false" outlineLevel="0" collapsed="false">
      <c r="A21" s="0"/>
      <c r="B21" s="0"/>
      <c r="C21" s="0"/>
      <c r="D21" s="7" t="s">
        <v>48</v>
      </c>
      <c r="E21" s="0"/>
      <c r="F21" s="8" t="s">
        <v>34</v>
      </c>
      <c r="G21" s="0"/>
      <c r="H21" s="0"/>
      <c r="I21" s="0"/>
      <c r="J21" s="0"/>
      <c r="K21" s="0"/>
      <c r="L21" s="0"/>
      <c r="M21" s="0"/>
      <c r="N21" s="0"/>
      <c r="O21" s="0"/>
      <c r="P21" s="0"/>
      <c r="Q21" s="0"/>
      <c r="R21" s="0"/>
      <c r="S21" s="0"/>
      <c r="T21" s="56" t="n">
        <f aca="false">Annual_Energy/(8760*Capacity*1000)</f>
        <v>0.168414111133702</v>
      </c>
      <c r="U21" s="57"/>
      <c r="V21" s="57"/>
      <c r="W21" s="0"/>
      <c r="X21" s="57"/>
      <c r="Y21" s="55"/>
      <c r="Z21" s="39"/>
      <c r="AA21" s="39"/>
      <c r="AB21" s="39"/>
      <c r="AC21" s="39"/>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false" outlineLevel="0" collapsed="false">
      <c r="A22" s="0"/>
      <c r="B22" s="0"/>
      <c r="C22" s="0"/>
      <c r="D22" s="7" t="s">
        <v>49</v>
      </c>
      <c r="E22" s="0"/>
      <c r="F22" s="8" t="s">
        <v>50</v>
      </c>
      <c r="G22" s="0"/>
      <c r="H22" s="0"/>
      <c r="I22" s="0"/>
      <c r="J22" s="0"/>
      <c r="K22" s="0"/>
      <c r="L22" s="0"/>
      <c r="M22" s="0"/>
      <c r="N22" s="0"/>
      <c r="O22" s="0"/>
      <c r="P22" s="0"/>
      <c r="Q22" s="0"/>
      <c r="R22" s="0"/>
      <c r="S22" s="0"/>
      <c r="T22" s="58" t="n">
        <f aca="false">Annual_Energy/(Capacity*1000)</f>
        <v>1475.30761353123</v>
      </c>
      <c r="U22" s="0"/>
      <c r="V22" s="0"/>
      <c r="W22" s="0"/>
      <c r="X22" s="0"/>
      <c r="Y22" s="39"/>
      <c r="Z22" s="39"/>
      <c r="AA22" s="39"/>
      <c r="AB22" s="39"/>
      <c r="AC22" s="39"/>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 hidden="false" customHeight="false" outlineLevel="0" collapsed="false">
      <c r="A23" s="0"/>
      <c r="B23" s="0"/>
      <c r="C23" s="0"/>
      <c r="D23" s="7" t="s">
        <v>51</v>
      </c>
      <c r="E23" s="0"/>
      <c r="F23" s="8" t="s">
        <v>52</v>
      </c>
      <c r="G23" s="0"/>
      <c r="H23" s="0"/>
      <c r="I23" s="0"/>
      <c r="J23" s="0"/>
      <c r="K23" s="0"/>
      <c r="L23" s="0"/>
      <c r="M23" s="0"/>
      <c r="N23" s="0"/>
      <c r="O23" s="0"/>
      <c r="P23" s="0"/>
      <c r="Q23" s="0"/>
      <c r="R23" s="0"/>
      <c r="S23" s="0"/>
      <c r="T23" s="59" t="n">
        <f aca="false">PR*Capacity</f>
        <v>16.1</v>
      </c>
      <c r="U23" s="0"/>
      <c r="V23" s="0"/>
      <c r="W23" s="0"/>
      <c r="X23" s="0"/>
      <c r="Y23" s="39"/>
      <c r="Z23" s="39"/>
      <c r="AA23" s="39"/>
      <c r="AB23" s="39"/>
      <c r="AC23" s="39"/>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false" outlineLevel="0" collapsed="false">
      <c r="A24" s="0"/>
      <c r="B24" s="0"/>
      <c r="C24" s="0"/>
      <c r="D24" s="7" t="s">
        <v>53</v>
      </c>
      <c r="E24" s="0"/>
      <c r="F24" s="8" t="s">
        <v>34</v>
      </c>
      <c r="G24" s="0"/>
      <c r="H24" s="0"/>
      <c r="I24" s="46" t="n">
        <f aca="false">INDEX(K24:R24,,$F$6)</f>
        <v>0.005</v>
      </c>
      <c r="J24" s="0"/>
      <c r="K24" s="47" t="n">
        <v>0.005</v>
      </c>
      <c r="L24" s="47" t="n">
        <v>0.005</v>
      </c>
      <c r="M24" s="47" t="n">
        <v>0.005</v>
      </c>
      <c r="N24" s="47" t="n">
        <v>0.005</v>
      </c>
      <c r="O24" s="47" t="n">
        <v>0.005</v>
      </c>
      <c r="P24" s="47" t="n">
        <v>0.005</v>
      </c>
      <c r="Q24" s="47" t="n">
        <v>0.005</v>
      </c>
      <c r="R24" s="47" t="n">
        <v>0.005</v>
      </c>
      <c r="S24" s="0"/>
      <c r="T24" s="0"/>
      <c r="U24" s="0"/>
      <c r="V24" s="0"/>
      <c r="W24" s="0"/>
      <c r="X24" s="0"/>
      <c r="Y24" s="39"/>
      <c r="Z24" s="39"/>
      <c r="AA24" s="39"/>
      <c r="AB24" s="39"/>
      <c r="AC24" s="39"/>
      <c r="AD24" s="0"/>
      <c r="AE24" s="13" t="s">
        <v>54</v>
      </c>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 hidden="false" customHeight="false" outlineLevel="0" collapsed="false">
      <c r="A25" s="0"/>
      <c r="B25" s="0"/>
      <c r="C25" s="0"/>
      <c r="D25" s="0"/>
      <c r="E25" s="0"/>
      <c r="F25" s="0"/>
      <c r="G25" s="0"/>
      <c r="H25" s="0"/>
      <c r="I25" s="0"/>
      <c r="J25" s="0"/>
      <c r="K25" s="0"/>
      <c r="L25" s="0"/>
      <c r="M25" s="0"/>
      <c r="N25" s="0"/>
      <c r="O25" s="0"/>
      <c r="P25" s="0"/>
      <c r="Q25" s="0"/>
      <c r="R25" s="0"/>
      <c r="S25" s="0"/>
      <c r="T25" s="0"/>
      <c r="U25" s="0"/>
      <c r="V25" s="0"/>
      <c r="W25" s="0"/>
      <c r="X25" s="0"/>
      <c r="Y25" s="39"/>
      <c r="Z25" s="60"/>
      <c r="AA25" s="39"/>
      <c r="AB25" s="39"/>
      <c r="AC25" s="39"/>
      <c r="AD25" s="0"/>
      <c r="AE25" s="13" t="s">
        <v>55</v>
      </c>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 hidden="false" customHeight="false" outlineLevel="0" collapsed="false">
      <c r="A26" s="0"/>
      <c r="B26" s="38" t="n">
        <f aca="false">(MAX($A$7:B25)+0.1)</f>
        <v>1.2</v>
      </c>
      <c r="C26" s="0"/>
      <c r="D26" s="38" t="s">
        <v>56</v>
      </c>
      <c r="E26" s="0"/>
      <c r="F26" s="0"/>
      <c r="G26" s="0"/>
      <c r="H26" s="0"/>
      <c r="I26" s="0"/>
      <c r="J26" s="0"/>
      <c r="K26" s="0"/>
      <c r="L26" s="0"/>
      <c r="M26" s="0"/>
      <c r="N26" s="0"/>
      <c r="O26" s="0"/>
      <c r="P26" s="0"/>
      <c r="Q26" s="0"/>
      <c r="R26" s="0"/>
      <c r="S26" s="0"/>
      <c r="T26" s="0"/>
      <c r="U26" s="0"/>
      <c r="V26" s="0"/>
      <c r="W26" s="0"/>
      <c r="X26" s="0"/>
      <c r="Y26" s="39"/>
      <c r="Z26" s="60"/>
      <c r="AA26" s="39"/>
      <c r="AB26" s="39"/>
      <c r="AC26" s="39"/>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 hidden="false" customHeight="false" outlineLevel="0" collapsed="false">
      <c r="A27" s="0"/>
      <c r="B27" s="38"/>
      <c r="C27" s="0"/>
      <c r="D27" s="61" t="s">
        <v>57</v>
      </c>
      <c r="E27" s="0"/>
      <c r="F27" s="8" t="s">
        <v>34</v>
      </c>
      <c r="G27" s="0"/>
      <c r="H27" s="0"/>
      <c r="I27" s="50" t="n">
        <f aca="false">INDEX(K27:R27,,$F$6)</f>
        <v>0.12</v>
      </c>
      <c r="J27" s="0"/>
      <c r="K27" s="51" t="n">
        <v>0.12</v>
      </c>
      <c r="L27" s="51" t="n">
        <v>0.12</v>
      </c>
      <c r="M27" s="51" t="n">
        <v>0.12</v>
      </c>
      <c r="N27" s="51" t="n">
        <v>0.12</v>
      </c>
      <c r="O27" s="51" t="n">
        <v>0.12</v>
      </c>
      <c r="P27" s="51" t="n">
        <v>0.12</v>
      </c>
      <c r="Q27" s="51" t="n">
        <v>0.12</v>
      </c>
      <c r="R27" s="51" t="n">
        <v>0.12</v>
      </c>
      <c r="S27" s="0"/>
      <c r="T27" s="0"/>
      <c r="U27" s="0"/>
      <c r="V27" s="0"/>
      <c r="W27" s="0"/>
      <c r="X27" s="0"/>
      <c r="Y27" s="39"/>
      <c r="Z27" s="39"/>
      <c r="AA27" s="39"/>
      <c r="AB27" s="39"/>
      <c r="AC27" s="39"/>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 hidden="false" customHeight="false" outlineLevel="0" collapsed="false">
      <c r="A28" s="0"/>
      <c r="B28" s="0"/>
      <c r="C28" s="0"/>
      <c r="D28" s="7" t="s">
        <v>58</v>
      </c>
      <c r="E28" s="0"/>
      <c r="F28" s="8" t="s">
        <v>59</v>
      </c>
      <c r="G28" s="0"/>
      <c r="H28" s="0"/>
      <c r="I28" s="62" t="n">
        <f aca="false">INDEX(K28:R28,,$F$6)</f>
        <v>14</v>
      </c>
      <c r="J28" s="0"/>
      <c r="K28" s="63" t="n">
        <v>14</v>
      </c>
      <c r="L28" s="63" t="n">
        <v>13.75</v>
      </c>
      <c r="M28" s="63" t="n">
        <v>13.5</v>
      </c>
      <c r="N28" s="63" t="n">
        <v>13.25</v>
      </c>
      <c r="O28" s="63" t="n">
        <v>14</v>
      </c>
      <c r="P28" s="63" t="n">
        <v>13.75</v>
      </c>
      <c r="Q28" s="63" t="n">
        <v>13.5</v>
      </c>
      <c r="R28" s="63" t="n">
        <v>13.25</v>
      </c>
      <c r="S28" s="0"/>
      <c r="T28" s="64"/>
      <c r="U28" s="65"/>
      <c r="V28" s="0"/>
      <c r="W28" s="0"/>
      <c r="X28" s="0"/>
      <c r="Y28" s="39"/>
      <c r="Z28" s="39"/>
      <c r="AA28" s="39"/>
      <c r="AB28" s="39"/>
      <c r="AC28" s="39"/>
      <c r="AD28" s="0"/>
      <c r="AE28" s="13" t="s">
        <v>60</v>
      </c>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 hidden="false" customHeight="false" outlineLevel="0" collapsed="false">
      <c r="A29" s="0"/>
      <c r="B29" s="0"/>
      <c r="C29" s="0"/>
      <c r="D29" s="7" t="s">
        <v>61</v>
      </c>
      <c r="E29" s="0"/>
      <c r="F29" s="8" t="s">
        <v>62</v>
      </c>
      <c r="G29" s="0"/>
      <c r="H29" s="0"/>
      <c r="I29" s="0"/>
      <c r="J29" s="0"/>
      <c r="K29" s="0"/>
      <c r="L29" s="0"/>
      <c r="M29" s="0"/>
      <c r="N29" s="0"/>
      <c r="O29" s="0"/>
      <c r="P29" s="0"/>
      <c r="Q29" s="0"/>
      <c r="R29" s="0"/>
      <c r="S29" s="0"/>
      <c r="T29" s="64" t="n">
        <f aca="false">(Levelised_Tariff/100/((Tariff_Discount*(1+Tariff_Discount)^PPA_duration)/((1+Tariff_Discount)^PPA_duration-1))/(SUMPRODUCT('Cash Flow'!I7:AL7,'Cash Flow'!I13:AL13)))</f>
        <v>0.14</v>
      </c>
      <c r="U29" s="0"/>
      <c r="V29" s="0"/>
      <c r="W29" s="0"/>
      <c r="X29" s="0"/>
      <c r="Y29" s="39"/>
      <c r="Z29" s="39"/>
      <c r="AA29" s="39"/>
      <c r="AB29" s="39"/>
      <c r="AC29" s="39"/>
      <c r="AD29" s="0"/>
      <c r="AE29" s="13" t="s">
        <v>63</v>
      </c>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false" outlineLevel="0" collapsed="false">
      <c r="A30" s="0"/>
      <c r="B30" s="38"/>
      <c r="C30" s="0"/>
      <c r="D30" s="7" t="s">
        <v>64</v>
      </c>
      <c r="E30" s="0"/>
      <c r="F30" s="8" t="s">
        <v>34</v>
      </c>
      <c r="G30" s="0"/>
      <c r="H30" s="0"/>
      <c r="I30" s="46" t="n">
        <f aca="false">INDEX(K30:R30,,$F$6)</f>
        <v>0</v>
      </c>
      <c r="J30" s="0"/>
      <c r="K30" s="47" t="n">
        <v>0</v>
      </c>
      <c r="L30" s="47" t="n">
        <v>0</v>
      </c>
      <c r="M30" s="47" t="n">
        <v>0</v>
      </c>
      <c r="N30" s="47" t="n">
        <v>0</v>
      </c>
      <c r="O30" s="47" t="n">
        <v>0</v>
      </c>
      <c r="P30" s="47" t="n">
        <v>0</v>
      </c>
      <c r="Q30" s="47" t="n">
        <v>0</v>
      </c>
      <c r="R30" s="47" t="n">
        <v>0</v>
      </c>
      <c r="S30" s="0"/>
      <c r="T30" s="7"/>
      <c r="U30" s="0"/>
      <c r="V30" s="0"/>
      <c r="W30" s="0"/>
      <c r="X30" s="0"/>
      <c r="Y30" s="39"/>
      <c r="Z30" s="39"/>
      <c r="AA30" s="39"/>
      <c r="AB30" s="39"/>
      <c r="AC30" s="39"/>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 hidden="false" customHeight="false" outlineLevel="0" collapsed="false">
      <c r="A31" s="0"/>
      <c r="B31" s="0"/>
      <c r="C31" s="0"/>
      <c r="D31" s="0"/>
      <c r="E31" s="0"/>
      <c r="F31" s="0"/>
      <c r="G31" s="0"/>
      <c r="H31" s="0"/>
      <c r="I31" s="0"/>
      <c r="J31" s="0"/>
      <c r="K31" s="0"/>
      <c r="L31" s="0"/>
      <c r="M31" s="0"/>
      <c r="N31" s="0"/>
      <c r="O31" s="0"/>
      <c r="P31" s="0"/>
      <c r="Q31" s="0"/>
      <c r="R31" s="0"/>
      <c r="S31" s="0"/>
      <c r="T31" s="0"/>
      <c r="U31" s="0"/>
      <c r="V31" s="0"/>
      <c r="W31" s="0"/>
      <c r="X31" s="0"/>
      <c r="Y31" s="39"/>
      <c r="Z31" s="39"/>
      <c r="AA31" s="39"/>
      <c r="AB31" s="39"/>
      <c r="AC31" s="39"/>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 hidden="false" customHeight="false" outlineLevel="0" collapsed="false">
      <c r="A32" s="0"/>
      <c r="B32" s="38" t="n">
        <f aca="false">(MAX($A$7:B31)+0.1)</f>
        <v>1.3</v>
      </c>
      <c r="C32" s="0"/>
      <c r="D32" s="38" t="s">
        <v>65</v>
      </c>
      <c r="E32" s="0"/>
      <c r="F32" s="0"/>
      <c r="G32" s="0"/>
      <c r="H32" s="0"/>
      <c r="I32" s="0"/>
      <c r="J32" s="0"/>
      <c r="K32" s="0"/>
      <c r="L32" s="0"/>
      <c r="M32" s="0"/>
      <c r="N32" s="0"/>
      <c r="O32" s="0"/>
      <c r="P32" s="0"/>
      <c r="Q32" s="0"/>
      <c r="R32" s="0"/>
      <c r="S32" s="0"/>
      <c r="T32" s="0"/>
      <c r="U32" s="0"/>
      <c r="V32" s="0"/>
      <c r="W32" s="0"/>
      <c r="X32" s="0"/>
      <c r="Y32" s="39"/>
      <c r="Z32" s="39"/>
      <c r="AA32" s="39"/>
      <c r="AB32" s="39"/>
      <c r="AC32" s="39"/>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 hidden="false" customHeight="false" outlineLevel="0" collapsed="false">
      <c r="A33" s="0"/>
      <c r="B33" s="0"/>
      <c r="C33" s="0"/>
      <c r="D33" s="7" t="s">
        <v>66</v>
      </c>
      <c r="E33" s="0"/>
      <c r="F33" s="8" t="s">
        <v>67</v>
      </c>
      <c r="G33" s="0"/>
      <c r="H33" s="0"/>
      <c r="I33" s="40" t="n">
        <f aca="false">INDEX(K33:R33,,$F$6)</f>
        <v>34</v>
      </c>
      <c r="J33" s="0"/>
      <c r="K33" s="41" t="n">
        <v>34</v>
      </c>
      <c r="L33" s="41" t="n">
        <v>34</v>
      </c>
      <c r="M33" s="41" t="n">
        <v>34</v>
      </c>
      <c r="N33" s="41" t="n">
        <v>34</v>
      </c>
      <c r="O33" s="41" t="n">
        <v>34</v>
      </c>
      <c r="P33" s="41" t="n">
        <v>34</v>
      </c>
      <c r="Q33" s="41" t="n">
        <v>34</v>
      </c>
      <c r="R33" s="41" t="n">
        <v>34</v>
      </c>
      <c r="S33" s="0"/>
      <c r="T33" s="0"/>
      <c r="U33" s="0"/>
      <c r="V33" s="0"/>
      <c r="W33" s="0"/>
      <c r="X33" s="0"/>
      <c r="Y33" s="39"/>
      <c r="Z33" s="39"/>
      <c r="AA33" s="39"/>
      <c r="AB33" s="39"/>
      <c r="AC33" s="39"/>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 hidden="false" customHeight="false" outlineLevel="0" collapsed="false">
      <c r="A34" s="0"/>
      <c r="B34" s="0"/>
      <c r="C34" s="0"/>
      <c r="D34" s="0"/>
      <c r="E34" s="0"/>
      <c r="F34" s="7"/>
      <c r="G34" s="7"/>
      <c r="H34" s="0"/>
      <c r="I34" s="7"/>
      <c r="J34" s="0"/>
      <c r="K34" s="7"/>
      <c r="L34" s="7"/>
      <c r="M34" s="7"/>
      <c r="N34" s="7"/>
      <c r="O34" s="7"/>
      <c r="P34" s="7"/>
      <c r="Q34" s="7"/>
      <c r="R34" s="7"/>
      <c r="S34" s="0"/>
      <c r="T34" s="0"/>
      <c r="U34" s="0"/>
      <c r="V34" s="0"/>
      <c r="W34" s="0"/>
      <c r="X34" s="0"/>
      <c r="Y34" s="39"/>
      <c r="Z34" s="39"/>
      <c r="AA34" s="39"/>
      <c r="AB34" s="39"/>
      <c r="AC34" s="39"/>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 hidden="false" customHeight="false" outlineLevel="0" collapsed="false">
      <c r="A35" s="0"/>
      <c r="B35" s="0"/>
      <c r="C35" s="0"/>
      <c r="D35" s="66" t="s">
        <v>68</v>
      </c>
      <c r="E35" s="67"/>
      <c r="F35" s="68" t="s">
        <v>69</v>
      </c>
      <c r="G35" s="68"/>
      <c r="H35" s="0"/>
      <c r="I35" s="69"/>
      <c r="J35" s="0"/>
      <c r="K35" s="69" t="n">
        <v>0</v>
      </c>
      <c r="L35" s="69" t="n">
        <v>0</v>
      </c>
      <c r="M35" s="69" t="n">
        <v>0</v>
      </c>
      <c r="N35" s="69" t="n">
        <v>0</v>
      </c>
      <c r="O35" s="69" t="n">
        <v>0</v>
      </c>
      <c r="P35" s="69" t="n">
        <v>0</v>
      </c>
      <c r="Q35" s="69" t="n">
        <v>0</v>
      </c>
      <c r="R35" s="69" t="n">
        <v>0</v>
      </c>
      <c r="S35" s="0"/>
      <c r="T35" s="0"/>
      <c r="U35" s="0"/>
      <c r="V35" s="0"/>
      <c r="W35" s="0"/>
      <c r="X35" s="0"/>
      <c r="Y35" s="39"/>
      <c r="Z35" s="39"/>
      <c r="AA35" s="39"/>
      <c r="AB35" s="39"/>
      <c r="AC35" s="39"/>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 hidden="false" customHeight="false" outlineLevel="0" collapsed="false">
      <c r="A36" s="0"/>
      <c r="B36" s="0"/>
      <c r="C36" s="0"/>
      <c r="D36" s="66" t="s">
        <v>70</v>
      </c>
      <c r="E36" s="67"/>
      <c r="F36" s="68" t="s">
        <v>34</v>
      </c>
      <c r="G36" s="68"/>
      <c r="H36" s="0"/>
      <c r="I36" s="70" t="n">
        <f aca="false">INDEX(K36:R36,,$F$6)</f>
        <v>0.16</v>
      </c>
      <c r="J36" s="0"/>
      <c r="K36" s="71" t="n">
        <v>0.16</v>
      </c>
      <c r="L36" s="71" t="n">
        <v>0.16</v>
      </c>
      <c r="M36" s="71" t="n">
        <v>0.16</v>
      </c>
      <c r="N36" s="71" t="n">
        <v>0.16</v>
      </c>
      <c r="O36" s="71" t="n">
        <v>0.16</v>
      </c>
      <c r="P36" s="71" t="n">
        <v>0.16</v>
      </c>
      <c r="Q36" s="71" t="n">
        <v>0.16</v>
      </c>
      <c r="R36" s="71" t="n">
        <v>0.16</v>
      </c>
      <c r="S36" s="0"/>
      <c r="T36" s="72" t="e">
        <f aca="false">supplier_irr-supplier_target_irr</f>
        <v>#NAME?</v>
      </c>
      <c r="U36" s="0"/>
      <c r="V36" s="0"/>
      <c r="W36" s="0"/>
      <c r="X36" s="0"/>
      <c r="Y36" s="39"/>
      <c r="Z36" s="39"/>
      <c r="AA36" s="39"/>
      <c r="AB36" s="39"/>
      <c r="AC36" s="39"/>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 hidden="false" customHeight="false" outlineLevel="0" collapsed="false">
      <c r="A37" s="0"/>
      <c r="B37" s="0"/>
      <c r="C37" s="0"/>
      <c r="D37" s="7" t="s">
        <v>71</v>
      </c>
      <c r="E37" s="0"/>
      <c r="F37" s="8" t="s">
        <v>72</v>
      </c>
      <c r="G37" s="0"/>
      <c r="H37" s="0"/>
      <c r="I37" s="0"/>
      <c r="J37" s="0"/>
      <c r="K37" s="0"/>
      <c r="L37" s="0"/>
      <c r="M37" s="0"/>
      <c r="N37" s="0"/>
      <c r="O37" s="0"/>
      <c r="P37" s="0"/>
      <c r="Q37" s="0"/>
      <c r="R37" s="0"/>
      <c r="S37" s="0"/>
      <c r="T37" s="42" t="n">
        <f aca="false">I35*Land_Area</f>
        <v>0</v>
      </c>
      <c r="U37" s="73"/>
      <c r="V37" s="73"/>
      <c r="W37" s="74"/>
      <c r="X37" s="73"/>
      <c r="Y37" s="39"/>
      <c r="Z37" s="39"/>
      <c r="AA37" s="39"/>
      <c r="AB37" s="39"/>
      <c r="AC37" s="39"/>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 hidden="false" customHeight="false" outlineLevel="0" collapsed="false">
      <c r="A38" s="0"/>
      <c r="B38" s="0"/>
      <c r="C38" s="0"/>
      <c r="D38" s="0"/>
      <c r="E38" s="0"/>
      <c r="F38" s="0"/>
      <c r="G38" s="0"/>
      <c r="H38" s="0"/>
      <c r="I38" s="0"/>
      <c r="J38" s="0"/>
      <c r="K38" s="0"/>
      <c r="L38" s="0"/>
      <c r="M38" s="0"/>
      <c r="N38" s="0"/>
      <c r="O38" s="0"/>
      <c r="P38" s="0"/>
      <c r="Q38" s="0"/>
      <c r="R38" s="0"/>
      <c r="S38" s="0"/>
      <c r="T38" s="42"/>
      <c r="U38" s="0"/>
      <c r="V38" s="0"/>
      <c r="W38" s="0"/>
      <c r="X38" s="0"/>
      <c r="Y38" s="39"/>
      <c r="Z38" s="39"/>
      <c r="AA38" s="39"/>
      <c r="AB38" s="39"/>
      <c r="AC38" s="39"/>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 hidden="false" customHeight="false" outlineLevel="0" collapsed="false">
      <c r="A39" s="0"/>
      <c r="B39" s="38" t="n">
        <f aca="false">(MAX($A$7:B38)+0.1)</f>
        <v>1.4</v>
      </c>
      <c r="C39" s="0"/>
      <c r="D39" s="38" t="s">
        <v>73</v>
      </c>
      <c r="E39" s="0"/>
      <c r="F39" s="0"/>
      <c r="G39" s="0"/>
      <c r="H39" s="0"/>
      <c r="I39" s="0"/>
      <c r="J39" s="0"/>
      <c r="K39" s="0"/>
      <c r="L39" s="0"/>
      <c r="M39" s="0"/>
      <c r="N39" s="0"/>
      <c r="O39" s="0"/>
      <c r="P39" s="0"/>
      <c r="Q39" s="0"/>
      <c r="R39" s="0"/>
      <c r="S39" s="0"/>
      <c r="T39" s="0"/>
      <c r="U39" s="0"/>
      <c r="V39" s="0"/>
      <c r="W39" s="0"/>
      <c r="X39" s="0"/>
      <c r="Y39" s="39"/>
      <c r="Z39" s="39"/>
      <c r="AA39" s="39"/>
      <c r="AB39" s="39"/>
      <c r="AC39" s="39"/>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 hidden="false" customHeight="false" outlineLevel="0" collapsed="false">
      <c r="A40" s="0"/>
      <c r="B40" s="0"/>
      <c r="C40" s="0"/>
      <c r="D40" s="7" t="s">
        <v>74</v>
      </c>
      <c r="E40" s="0"/>
      <c r="F40" s="8" t="s">
        <v>75</v>
      </c>
      <c r="G40" s="0"/>
      <c r="H40" s="0"/>
      <c r="I40" s="75" t="n">
        <f aca="false">INDEX(K40:R40,,$F$6)</f>
        <v>1050</v>
      </c>
      <c r="J40" s="0"/>
      <c r="K40" s="76" t="n">
        <v>1050</v>
      </c>
      <c r="L40" s="76" t="n">
        <v>1050</v>
      </c>
      <c r="M40" s="76" t="n">
        <v>1050</v>
      </c>
      <c r="N40" s="76" t="n">
        <v>1050</v>
      </c>
      <c r="O40" s="76" t="n">
        <v>1000</v>
      </c>
      <c r="P40" s="76" t="n">
        <v>1000</v>
      </c>
      <c r="Q40" s="76" t="n">
        <v>1000</v>
      </c>
      <c r="R40" s="76" t="n">
        <v>1000</v>
      </c>
      <c r="S40" s="0"/>
      <c r="T40" s="42" t="n">
        <f aca="false">I40*Capacity*1000</f>
        <v>21000000</v>
      </c>
      <c r="U40" s="65" t="s">
        <v>72</v>
      </c>
      <c r="V40" s="65"/>
      <c r="W40" s="77"/>
      <c r="X40" s="65"/>
      <c r="Y40" s="39"/>
      <c r="Z40" s="39"/>
      <c r="AA40" s="39"/>
      <c r="AB40" s="78"/>
      <c r="AC40" s="78"/>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5" hidden="false" customHeight="false" outlineLevel="0" collapsed="false">
      <c r="A41" s="0"/>
      <c r="B41" s="0"/>
      <c r="C41" s="0"/>
      <c r="D41" s="7" t="s">
        <v>76</v>
      </c>
      <c r="E41" s="0"/>
      <c r="F41" s="8" t="s">
        <v>75</v>
      </c>
      <c r="G41" s="0"/>
      <c r="H41" s="0"/>
      <c r="I41" s="75" t="n">
        <f aca="false">INDEX(K41:R41,,$F$6)</f>
        <v>78</v>
      </c>
      <c r="J41" s="0"/>
      <c r="K41" s="76" t="n">
        <v>78</v>
      </c>
      <c r="L41" s="76" t="n">
        <v>78</v>
      </c>
      <c r="M41" s="76" t="n">
        <v>78</v>
      </c>
      <c r="N41" s="76" t="n">
        <v>78</v>
      </c>
      <c r="O41" s="76" t="n">
        <v>78</v>
      </c>
      <c r="P41" s="76" t="n">
        <v>78</v>
      </c>
      <c r="Q41" s="76" t="n">
        <v>78</v>
      </c>
      <c r="R41" s="76" t="n">
        <v>78</v>
      </c>
      <c r="S41" s="0"/>
      <c r="T41" s="42" t="n">
        <f aca="false">I41*Capacity*1000</f>
        <v>1560000</v>
      </c>
      <c r="U41" s="65" t="s">
        <v>72</v>
      </c>
      <c r="V41" s="65"/>
      <c r="W41" s="77"/>
      <c r="X41" s="65"/>
      <c r="Y41" s="79"/>
      <c r="Z41" s="39"/>
      <c r="AA41" s="39"/>
      <c r="AB41" s="39"/>
      <c r="AC41" s="39"/>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 hidden="false" customHeight="false" outlineLevel="0" collapsed="false">
      <c r="A42" s="0"/>
      <c r="B42" s="0"/>
      <c r="C42" s="0"/>
      <c r="D42" s="7" t="s">
        <v>77</v>
      </c>
      <c r="E42" s="0"/>
      <c r="F42" s="8" t="s">
        <v>75</v>
      </c>
      <c r="G42" s="0"/>
      <c r="H42" s="0"/>
      <c r="I42" s="75" t="n">
        <f aca="false">INDEX(K42:R42,,$F$6)</f>
        <v>0</v>
      </c>
      <c r="J42" s="0"/>
      <c r="K42" s="76"/>
      <c r="L42" s="76"/>
      <c r="M42" s="76"/>
      <c r="N42" s="76"/>
      <c r="O42" s="76"/>
      <c r="P42" s="76"/>
      <c r="Q42" s="76"/>
      <c r="R42" s="76"/>
      <c r="S42" s="0"/>
      <c r="T42" s="42" t="n">
        <f aca="false">I42*Capacity*1000</f>
        <v>0</v>
      </c>
      <c r="U42" s="65" t="s">
        <v>72</v>
      </c>
      <c r="V42" s="65"/>
      <c r="W42" s="77"/>
      <c r="X42" s="65"/>
      <c r="Y42" s="39"/>
      <c r="Z42" s="39"/>
      <c r="AA42" s="39"/>
      <c r="AB42" s="39"/>
      <c r="AC42" s="39"/>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5" hidden="false" customHeight="false" outlineLevel="0" collapsed="false">
      <c r="A43" s="0"/>
      <c r="B43" s="0"/>
      <c r="C43" s="0"/>
      <c r="D43" s="7" t="s">
        <v>78</v>
      </c>
      <c r="E43" s="0"/>
      <c r="F43" s="8" t="s">
        <v>75</v>
      </c>
      <c r="G43" s="0"/>
      <c r="H43" s="0"/>
      <c r="I43" s="75" t="n">
        <f aca="false">INDEX(K43:R43,,$F$6)</f>
        <v>30</v>
      </c>
      <c r="J43" s="0"/>
      <c r="K43" s="76" t="n">
        <v>30</v>
      </c>
      <c r="L43" s="76" t="n">
        <v>30</v>
      </c>
      <c r="M43" s="76" t="n">
        <v>30</v>
      </c>
      <c r="N43" s="76" t="n">
        <v>30</v>
      </c>
      <c r="O43" s="76" t="n">
        <v>30</v>
      </c>
      <c r="P43" s="76" t="n">
        <v>30</v>
      </c>
      <c r="Q43" s="76" t="n">
        <v>30</v>
      </c>
      <c r="R43" s="76" t="n">
        <v>30</v>
      </c>
      <c r="S43" s="0"/>
      <c r="T43" s="42" t="n">
        <f aca="false">I43*Capacity*1000</f>
        <v>600000</v>
      </c>
      <c r="U43" s="65" t="s">
        <v>72</v>
      </c>
      <c r="V43" s="65"/>
      <c r="W43" s="77"/>
      <c r="X43" s="65"/>
      <c r="Y43" s="39"/>
      <c r="Z43" s="39"/>
      <c r="AA43" s="39"/>
      <c r="AB43" s="39"/>
      <c r="AC43" s="39"/>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 hidden="false" customHeight="false" outlineLevel="0" collapsed="false">
      <c r="A44" s="0"/>
      <c r="B44" s="0"/>
      <c r="C44" s="0"/>
      <c r="D44" s="7" t="s">
        <v>79</v>
      </c>
      <c r="E44" s="0"/>
      <c r="F44" s="8" t="s">
        <v>80</v>
      </c>
      <c r="G44" s="0"/>
      <c r="H44" s="0"/>
      <c r="I44" s="70" t="n">
        <f aca="false">INDEX(K44:R44,,$F$6)</f>
        <v>0.05</v>
      </c>
      <c r="J44" s="0"/>
      <c r="K44" s="71" t="n">
        <v>0.05</v>
      </c>
      <c r="L44" s="71" t="n">
        <v>0.05</v>
      </c>
      <c r="M44" s="71" t="n">
        <v>0.05</v>
      </c>
      <c r="N44" s="71" t="n">
        <v>0.05</v>
      </c>
      <c r="O44" s="71" t="n">
        <v>0.05</v>
      </c>
      <c r="P44" s="71" t="n">
        <v>0.05</v>
      </c>
      <c r="Q44" s="71" t="n">
        <v>0.05</v>
      </c>
      <c r="R44" s="71" t="n">
        <v>0.05</v>
      </c>
      <c r="S44" s="0"/>
      <c r="T44" s="42" t="n">
        <f aca="false">I44*T40</f>
        <v>1050000</v>
      </c>
      <c r="U44" s="65" t="s">
        <v>72</v>
      </c>
      <c r="V44" s="65"/>
      <c r="W44" s="77"/>
      <c r="X44" s="65"/>
      <c r="Y44" s="39"/>
      <c r="Z44" s="39"/>
      <c r="AA44" s="39"/>
      <c r="AB44" s="39"/>
      <c r="AC44" s="39"/>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 hidden="false" customHeight="false" outlineLevel="0" collapsed="false">
      <c r="A45" s="0"/>
      <c r="B45" s="0"/>
      <c r="C45" s="0"/>
      <c r="D45" s="80" t="s">
        <v>81</v>
      </c>
      <c r="E45" s="80"/>
      <c r="F45" s="81" t="s">
        <v>72</v>
      </c>
      <c r="G45" s="81"/>
      <c r="H45" s="82"/>
      <c r="I45" s="81"/>
      <c r="J45" s="0"/>
      <c r="K45" s="81"/>
      <c r="L45" s="81"/>
      <c r="M45" s="81"/>
      <c r="N45" s="81"/>
      <c r="O45" s="81"/>
      <c r="P45" s="81"/>
      <c r="Q45" s="81"/>
      <c r="R45" s="81"/>
      <c r="S45" s="83"/>
      <c r="T45" s="84" t="n">
        <f aca="false">SUM(T40:T44)</f>
        <v>24210000</v>
      </c>
      <c r="U45" s="0"/>
      <c r="V45" s="0"/>
      <c r="W45" s="0"/>
      <c r="X45" s="0"/>
      <c r="Y45" s="55"/>
      <c r="Z45" s="78"/>
      <c r="AA45" s="55"/>
      <c r="AB45" s="55"/>
      <c r="AC45" s="78"/>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5" hidden="false" customHeight="false" outlineLevel="0" collapsed="false">
      <c r="A46" s="0"/>
      <c r="B46" s="0"/>
      <c r="C46" s="0"/>
      <c r="D46" s="0"/>
      <c r="E46" s="0"/>
      <c r="F46" s="0"/>
      <c r="G46" s="0"/>
      <c r="H46" s="0"/>
      <c r="I46" s="0"/>
      <c r="J46" s="0"/>
      <c r="K46" s="0"/>
      <c r="L46" s="0"/>
      <c r="M46" s="0"/>
      <c r="N46" s="0"/>
      <c r="O46" s="0"/>
      <c r="P46" s="0"/>
      <c r="Q46" s="0"/>
      <c r="R46" s="0"/>
      <c r="S46" s="0"/>
      <c r="T46" s="42"/>
      <c r="U46" s="0"/>
      <c r="V46" s="0"/>
      <c r="W46" s="0"/>
      <c r="X46" s="0"/>
      <c r="Y46" s="39"/>
      <c r="Z46" s="39"/>
      <c r="AA46" s="39"/>
      <c r="AB46" s="39"/>
      <c r="AC46" s="39"/>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 hidden="false" customHeight="false" outlineLevel="0" collapsed="false">
      <c r="A47" s="0"/>
      <c r="B47" s="38" t="n">
        <f aca="false">(MAX($A$7:B46)+0.1)</f>
        <v>1.5</v>
      </c>
      <c r="C47" s="0"/>
      <c r="D47" s="38" t="s">
        <v>82</v>
      </c>
      <c r="E47" s="0"/>
      <c r="F47" s="0"/>
      <c r="G47" s="0"/>
      <c r="H47" s="0"/>
      <c r="I47" s="0"/>
      <c r="J47" s="0"/>
      <c r="K47" s="0"/>
      <c r="L47" s="0"/>
      <c r="M47" s="0"/>
      <c r="N47" s="0"/>
      <c r="O47" s="0"/>
      <c r="P47" s="0"/>
      <c r="Q47" s="0"/>
      <c r="R47" s="0"/>
      <c r="S47" s="0"/>
      <c r="T47" s="42"/>
      <c r="U47" s="0"/>
      <c r="V47" s="0"/>
      <c r="W47" s="0"/>
      <c r="X47" s="0"/>
      <c r="Y47" s="39"/>
      <c r="Z47" s="39"/>
      <c r="AA47" s="39"/>
      <c r="AB47" s="39"/>
      <c r="AC47" s="39"/>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5" hidden="false" customHeight="false" outlineLevel="0" collapsed="false">
      <c r="A48" s="0"/>
      <c r="B48" s="0"/>
      <c r="C48" s="0"/>
      <c r="D48" s="7" t="s">
        <v>83</v>
      </c>
      <c r="E48" s="0"/>
      <c r="F48" s="8" t="s">
        <v>72</v>
      </c>
      <c r="G48" s="0"/>
      <c r="H48" s="0"/>
      <c r="I48" s="85" t="n">
        <f aca="false">INDEX(K48:R48,,$F$6)*1000</f>
        <v>0</v>
      </c>
      <c r="J48" s="0"/>
      <c r="K48" s="76"/>
      <c r="L48" s="76"/>
      <c r="M48" s="76"/>
      <c r="N48" s="76"/>
      <c r="O48" s="76"/>
      <c r="P48" s="76"/>
      <c r="Q48" s="76"/>
      <c r="R48" s="76"/>
      <c r="S48" s="0"/>
      <c r="T48" s="42"/>
      <c r="U48" s="0"/>
      <c r="V48" s="0"/>
      <c r="W48" s="0"/>
      <c r="X48" s="0"/>
      <c r="Y48" s="39"/>
      <c r="Z48" s="39"/>
      <c r="AA48" s="39"/>
      <c r="AB48" s="39"/>
      <c r="AC48" s="39"/>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 hidden="false" customHeight="false" outlineLevel="0" collapsed="false">
      <c r="A49" s="0"/>
      <c r="B49" s="0"/>
      <c r="C49" s="0"/>
      <c r="D49" s="7" t="s">
        <v>84</v>
      </c>
      <c r="E49" s="0"/>
      <c r="F49" s="8" t="s">
        <v>72</v>
      </c>
      <c r="G49" s="0"/>
      <c r="H49" s="0"/>
      <c r="I49" s="85" t="n">
        <f aca="false">INDEX(K49:R49,,$F$6)*1000</f>
        <v>0</v>
      </c>
      <c r="J49" s="0"/>
      <c r="K49" s="76"/>
      <c r="L49" s="76"/>
      <c r="M49" s="76"/>
      <c r="N49" s="76"/>
      <c r="O49" s="76"/>
      <c r="P49" s="76"/>
      <c r="Q49" s="76"/>
      <c r="R49" s="76"/>
      <c r="S49" s="0"/>
      <c r="T49" s="42"/>
      <c r="U49" s="0"/>
      <c r="V49" s="0"/>
      <c r="W49" s="0"/>
      <c r="X49" s="0"/>
      <c r="Y49" s="39"/>
      <c r="Z49" s="39"/>
      <c r="AA49" s="39"/>
      <c r="AB49" s="39"/>
      <c r="AC49" s="39"/>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5" hidden="false" customHeight="false" outlineLevel="0" collapsed="false">
      <c r="A50" s="0"/>
      <c r="B50" s="0"/>
      <c r="C50" s="0"/>
      <c r="D50" s="7" t="s">
        <v>85</v>
      </c>
      <c r="E50" s="0"/>
      <c r="F50" s="8" t="s">
        <v>72</v>
      </c>
      <c r="G50" s="0"/>
      <c r="H50" s="0"/>
      <c r="I50" s="0"/>
      <c r="J50" s="0"/>
      <c r="K50" s="0"/>
      <c r="L50" s="0"/>
      <c r="M50" s="0"/>
      <c r="N50" s="0"/>
      <c r="O50" s="0"/>
      <c r="P50" s="0"/>
      <c r="Q50" s="0"/>
      <c r="R50" s="0"/>
      <c r="S50" s="0"/>
      <c r="T50" s="42" t="n">
        <f aca="false">SUM(I48:I49)</f>
        <v>0</v>
      </c>
      <c r="U50" s="0"/>
      <c r="V50" s="0"/>
      <c r="W50" s="0"/>
      <c r="X50" s="0"/>
      <c r="Y50" s="39"/>
      <c r="Z50" s="39"/>
      <c r="AA50" s="39"/>
      <c r="AB50" s="39"/>
      <c r="AC50" s="39"/>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 hidden="false" customHeight="false" outlineLevel="0" collapsed="false">
      <c r="A51" s="0"/>
      <c r="B51" s="0"/>
      <c r="C51" s="0"/>
      <c r="D51" s="7" t="s">
        <v>86</v>
      </c>
      <c r="E51" s="0"/>
      <c r="F51" s="8" t="s">
        <v>72</v>
      </c>
      <c r="G51" s="0"/>
      <c r="H51" s="0"/>
      <c r="I51" s="85" t="n">
        <f aca="false">INDEX(K51:R51,,$F$6)*1000</f>
        <v>0</v>
      </c>
      <c r="J51" s="0"/>
      <c r="K51" s="76"/>
      <c r="L51" s="76"/>
      <c r="M51" s="76"/>
      <c r="N51" s="76"/>
      <c r="O51" s="76"/>
      <c r="P51" s="76"/>
      <c r="Q51" s="76"/>
      <c r="R51" s="76"/>
      <c r="S51" s="0"/>
      <c r="T51" s="42"/>
      <c r="U51" s="0"/>
      <c r="V51" s="0"/>
      <c r="W51" s="0"/>
      <c r="X51" s="0"/>
      <c r="Y51" s="39"/>
      <c r="Z51" s="39"/>
      <c r="AA51" s="39"/>
      <c r="AB51" s="39"/>
      <c r="AC51" s="39"/>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5" hidden="false" customHeight="false" outlineLevel="0" collapsed="false">
      <c r="A52" s="0"/>
      <c r="B52" s="0"/>
      <c r="C52" s="0"/>
      <c r="D52" s="7" t="s">
        <v>87</v>
      </c>
      <c r="E52" s="0"/>
      <c r="F52" s="8" t="s">
        <v>88</v>
      </c>
      <c r="G52" s="0"/>
      <c r="H52" s="0"/>
      <c r="I52" s="40" t="str">
        <f aca="false">INDEX(K52:R52,,$F$6)</f>
        <v>no</v>
      </c>
      <c r="J52" s="0"/>
      <c r="K52" s="52" t="s">
        <v>89</v>
      </c>
      <c r="L52" s="52" t="s">
        <v>89</v>
      </c>
      <c r="M52" s="52" t="s">
        <v>89</v>
      </c>
      <c r="N52" s="52" t="s">
        <v>89</v>
      </c>
      <c r="O52" s="52" t="s">
        <v>89</v>
      </c>
      <c r="P52" s="52" t="s">
        <v>89</v>
      </c>
      <c r="Q52" s="52" t="s">
        <v>89</v>
      </c>
      <c r="R52" s="52" t="s">
        <v>89</v>
      </c>
      <c r="S52" s="0"/>
      <c r="T52" s="42"/>
      <c r="U52" s="0"/>
      <c r="V52" s="0"/>
      <c r="W52" s="0"/>
      <c r="X52" s="0"/>
      <c r="Y52" s="39"/>
      <c r="Z52" s="39"/>
      <c r="AA52" s="39"/>
      <c r="AB52" s="39"/>
      <c r="AC52" s="39"/>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 hidden="false" customHeight="false" outlineLevel="0" collapsed="false">
      <c r="A53" s="0"/>
      <c r="B53" s="0"/>
      <c r="C53" s="0"/>
      <c r="D53" s="0"/>
      <c r="E53" s="0"/>
      <c r="F53" s="0"/>
      <c r="G53" s="0"/>
      <c r="H53" s="0"/>
      <c r="I53" s="0"/>
      <c r="J53" s="0"/>
      <c r="K53" s="0"/>
      <c r="L53" s="0"/>
      <c r="M53" s="0"/>
      <c r="N53" s="0"/>
      <c r="O53" s="0"/>
      <c r="P53" s="0"/>
      <c r="Q53" s="0"/>
      <c r="R53" s="0"/>
      <c r="S53" s="0"/>
      <c r="T53" s="42"/>
      <c r="U53" s="0"/>
      <c r="V53" s="0"/>
      <c r="W53" s="0"/>
      <c r="X53" s="0"/>
      <c r="Y53" s="39"/>
      <c r="Z53" s="39"/>
      <c r="AA53" s="39"/>
      <c r="AB53" s="39"/>
      <c r="AC53" s="39"/>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5" hidden="false" customHeight="false" outlineLevel="0" collapsed="false">
      <c r="A54" s="0"/>
      <c r="B54" s="38" t="n">
        <f aca="false">(MAX($A$7:B53)+0.1)</f>
        <v>1.6</v>
      </c>
      <c r="C54" s="0"/>
      <c r="D54" s="38" t="s">
        <v>90</v>
      </c>
      <c r="E54" s="0"/>
      <c r="F54" s="0"/>
      <c r="G54" s="0"/>
      <c r="H54" s="0"/>
      <c r="I54" s="0"/>
      <c r="J54" s="0"/>
      <c r="K54" s="0"/>
      <c r="L54" s="0"/>
      <c r="M54" s="0"/>
      <c r="N54" s="0"/>
      <c r="O54" s="0"/>
      <c r="P54" s="0"/>
      <c r="Q54" s="0"/>
      <c r="R54" s="0"/>
      <c r="S54" s="0"/>
      <c r="T54" s="42"/>
      <c r="U54" s="0"/>
      <c r="V54" s="0"/>
      <c r="W54" s="0"/>
      <c r="X54" s="0"/>
      <c r="Y54" s="39"/>
      <c r="Z54" s="39"/>
      <c r="AA54" s="39"/>
      <c r="AB54" s="39"/>
      <c r="AC54" s="39"/>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5" hidden="false" customHeight="false" outlineLevel="0" collapsed="false">
      <c r="A55" s="0"/>
      <c r="B55" s="0"/>
      <c r="C55" s="0"/>
      <c r="D55" s="7" t="s">
        <v>91</v>
      </c>
      <c r="E55" s="0"/>
      <c r="F55" s="8" t="s">
        <v>72</v>
      </c>
      <c r="G55" s="0"/>
      <c r="H55" s="0"/>
      <c r="I55" s="85" t="n">
        <f aca="false">INDEX(K55:R55,,$F$6)*1000</f>
        <v>0</v>
      </c>
      <c r="J55" s="0"/>
      <c r="K55" s="76"/>
      <c r="L55" s="76"/>
      <c r="M55" s="76"/>
      <c r="N55" s="76"/>
      <c r="O55" s="76"/>
      <c r="P55" s="76"/>
      <c r="Q55" s="76"/>
      <c r="R55" s="76"/>
      <c r="S55" s="0"/>
      <c r="T55" s="42"/>
      <c r="U55" s="0"/>
      <c r="V55" s="0"/>
      <c r="W55" s="0"/>
      <c r="X55" s="0"/>
      <c r="Y55" s="39"/>
      <c r="Z55" s="39"/>
      <c r="AA55" s="39"/>
      <c r="AB55" s="39"/>
      <c r="AC55" s="39"/>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 hidden="false" customHeight="false" outlineLevel="0" collapsed="false">
      <c r="A56" s="0"/>
      <c r="B56" s="0"/>
      <c r="C56" s="0"/>
      <c r="D56" s="7" t="s">
        <v>92</v>
      </c>
      <c r="E56" s="0"/>
      <c r="F56" s="8" t="s">
        <v>72</v>
      </c>
      <c r="G56" s="0"/>
      <c r="H56" s="0"/>
      <c r="I56" s="85" t="n">
        <f aca="false">INDEX(K56:R56,,$F$6)*1000</f>
        <v>0</v>
      </c>
      <c r="J56" s="0"/>
      <c r="K56" s="76"/>
      <c r="L56" s="76"/>
      <c r="M56" s="76"/>
      <c r="N56" s="76"/>
      <c r="O56" s="76"/>
      <c r="P56" s="76"/>
      <c r="Q56" s="76"/>
      <c r="R56" s="76"/>
      <c r="S56" s="0"/>
      <c r="T56" s="42"/>
      <c r="U56" s="0"/>
      <c r="V56" s="0"/>
      <c r="W56" s="0"/>
      <c r="X56" s="0"/>
      <c r="Y56" s="39"/>
      <c r="Z56" s="39"/>
      <c r="AA56" s="39"/>
      <c r="AB56" s="39"/>
      <c r="AC56" s="39"/>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5" hidden="false" customHeight="false" outlineLevel="0" collapsed="false">
      <c r="A57" s="0"/>
      <c r="B57" s="0"/>
      <c r="C57" s="0"/>
      <c r="D57" s="0"/>
      <c r="E57" s="0"/>
      <c r="F57" s="0"/>
      <c r="G57" s="0"/>
      <c r="H57" s="0"/>
      <c r="I57" s="0"/>
      <c r="J57" s="0"/>
      <c r="K57" s="0"/>
      <c r="L57" s="0"/>
      <c r="M57" s="0"/>
      <c r="N57" s="0"/>
      <c r="O57" s="0"/>
      <c r="P57" s="0"/>
      <c r="Q57" s="0"/>
      <c r="R57" s="0"/>
      <c r="S57" s="0"/>
      <c r="T57" s="42"/>
      <c r="U57" s="0"/>
      <c r="V57" s="0"/>
      <c r="W57" s="0"/>
      <c r="X57" s="0"/>
      <c r="Y57" s="39"/>
      <c r="Z57" s="39"/>
      <c r="AA57" s="39"/>
      <c r="AB57" s="39"/>
      <c r="AC57" s="39"/>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5" hidden="false" customHeight="false" outlineLevel="0" collapsed="false">
      <c r="A58" s="0"/>
      <c r="B58" s="38" t="n">
        <f aca="false">(MAX($A$7:B57)+0.1)</f>
        <v>1.7</v>
      </c>
      <c r="C58" s="0"/>
      <c r="D58" s="38" t="s">
        <v>93</v>
      </c>
      <c r="E58" s="0"/>
      <c r="F58" s="0"/>
      <c r="G58" s="0"/>
      <c r="H58" s="0"/>
      <c r="I58" s="0"/>
      <c r="J58" s="0"/>
      <c r="K58" s="0"/>
      <c r="L58" s="0"/>
      <c r="M58" s="0"/>
      <c r="N58" s="0"/>
      <c r="O58" s="0"/>
      <c r="P58" s="0"/>
      <c r="Q58" s="0"/>
      <c r="R58" s="0"/>
      <c r="S58" s="0"/>
      <c r="T58" s="42"/>
      <c r="U58" s="0"/>
      <c r="V58" s="0"/>
      <c r="W58" s="0"/>
      <c r="X58" s="0"/>
      <c r="Y58" s="39"/>
      <c r="Z58" s="39"/>
      <c r="AA58" s="39"/>
      <c r="AB58" s="39"/>
      <c r="AC58" s="39"/>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5" hidden="false" customHeight="false" outlineLevel="0" collapsed="false">
      <c r="A59" s="0"/>
      <c r="B59" s="0"/>
      <c r="C59" s="0"/>
      <c r="D59" s="7" t="s">
        <v>94</v>
      </c>
      <c r="E59" s="0"/>
      <c r="F59" s="8" t="s">
        <v>34</v>
      </c>
      <c r="G59" s="0"/>
      <c r="H59" s="0"/>
      <c r="I59" s="46" t="n">
        <f aca="false">INDEX(K59:R59,,$F$6)</f>
        <v>0.01</v>
      </c>
      <c r="J59" s="0"/>
      <c r="K59" s="47" t="n">
        <v>0.01</v>
      </c>
      <c r="L59" s="47" t="n">
        <v>0.01</v>
      </c>
      <c r="M59" s="47" t="n">
        <v>0.01</v>
      </c>
      <c r="N59" s="47" t="n">
        <v>0.01</v>
      </c>
      <c r="O59" s="47" t="n">
        <v>0.01</v>
      </c>
      <c r="P59" s="47" t="n">
        <v>0.01</v>
      </c>
      <c r="Q59" s="47" t="n">
        <v>0.01</v>
      </c>
      <c r="R59" s="47" t="n">
        <v>0.01</v>
      </c>
      <c r="S59" s="0"/>
      <c r="T59" s="42" t="n">
        <f aca="false">I59*T40</f>
        <v>210000</v>
      </c>
      <c r="U59" s="65" t="s">
        <v>72</v>
      </c>
      <c r="V59" s="65" t="n">
        <f aca="false">initial_OM/L11</f>
        <v>10500</v>
      </c>
      <c r="W59" s="77" t="s">
        <v>95</v>
      </c>
      <c r="X59" s="65"/>
      <c r="Y59" s="86"/>
      <c r="Z59" s="78"/>
      <c r="AA59" s="87"/>
      <c r="AB59" s="87"/>
      <c r="AC59" s="78"/>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5" hidden="false" customHeight="false" outlineLevel="0" collapsed="false">
      <c r="A60" s="0"/>
      <c r="B60" s="0"/>
      <c r="C60" s="0"/>
      <c r="D60" s="7" t="s">
        <v>96</v>
      </c>
      <c r="E60" s="0"/>
      <c r="F60" s="8" t="s">
        <v>72</v>
      </c>
      <c r="G60" s="0"/>
      <c r="H60" s="0"/>
      <c r="I60" s="85" t="n">
        <f aca="false">INDEX(K60:R60,,$F$6)*1000</f>
        <v>50000</v>
      </c>
      <c r="J60" s="0"/>
      <c r="K60" s="76" t="n">
        <v>50</v>
      </c>
      <c r="L60" s="76" t="n">
        <v>50</v>
      </c>
      <c r="M60" s="76" t="n">
        <v>50</v>
      </c>
      <c r="N60" s="76" t="n">
        <v>50</v>
      </c>
      <c r="O60" s="76" t="n">
        <v>50</v>
      </c>
      <c r="P60" s="76" t="n">
        <v>50</v>
      </c>
      <c r="Q60" s="76" t="n">
        <v>50</v>
      </c>
      <c r="R60" s="76" t="n">
        <v>50</v>
      </c>
      <c r="S60" s="0"/>
      <c r="T60" s="42"/>
      <c r="U60" s="0"/>
      <c r="V60" s="0"/>
      <c r="W60" s="0"/>
      <c r="X60" s="0"/>
      <c r="Y60" s="39"/>
      <c r="Z60" s="39"/>
      <c r="AA60" s="39"/>
      <c r="AB60" s="39"/>
      <c r="AC60" s="39"/>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5" hidden="false" customHeight="false" outlineLevel="0" collapsed="false">
      <c r="A61" s="0"/>
      <c r="B61" s="0"/>
      <c r="C61" s="0"/>
      <c r="D61" s="7" t="s">
        <v>97</v>
      </c>
      <c r="E61" s="0"/>
      <c r="F61" s="8" t="s">
        <v>72</v>
      </c>
      <c r="G61" s="0"/>
      <c r="H61" s="0"/>
      <c r="I61" s="85" t="n">
        <f aca="false">INDEX(K61:R61,,$F$6)*1000</f>
        <v>45000</v>
      </c>
      <c r="J61" s="0"/>
      <c r="K61" s="76" t="n">
        <v>45</v>
      </c>
      <c r="L61" s="76" t="n">
        <v>45</v>
      </c>
      <c r="M61" s="76" t="n">
        <v>45</v>
      </c>
      <c r="N61" s="76" t="n">
        <v>45</v>
      </c>
      <c r="O61" s="76" t="n">
        <v>45</v>
      </c>
      <c r="P61" s="76" t="n">
        <v>45</v>
      </c>
      <c r="Q61" s="76" t="n">
        <v>45</v>
      </c>
      <c r="R61" s="76" t="n">
        <v>45</v>
      </c>
      <c r="S61" s="0"/>
      <c r="T61" s="42"/>
      <c r="U61" s="0"/>
      <c r="V61" s="0"/>
      <c r="W61" s="0"/>
      <c r="X61" s="0"/>
      <c r="Y61" s="39"/>
      <c r="Z61" s="39"/>
      <c r="AA61" s="39"/>
      <c r="AB61" s="39"/>
      <c r="AC61" s="39"/>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5" hidden="false" customHeight="false" outlineLevel="0" collapsed="false">
      <c r="A62" s="0"/>
      <c r="B62" s="0"/>
      <c r="C62" s="0"/>
      <c r="D62" s="7" t="s">
        <v>98</v>
      </c>
      <c r="E62" s="0"/>
      <c r="F62" s="8" t="s">
        <v>72</v>
      </c>
      <c r="G62" s="0"/>
      <c r="H62" s="0"/>
      <c r="I62" s="85" t="n">
        <f aca="false">INDEX(K62:R62,,$F$6)*1000</f>
        <v>0</v>
      </c>
      <c r="J62" s="0"/>
      <c r="K62" s="76"/>
      <c r="L62" s="76"/>
      <c r="M62" s="76"/>
      <c r="N62" s="76"/>
      <c r="O62" s="76"/>
      <c r="P62" s="76"/>
      <c r="Q62" s="76"/>
      <c r="R62" s="76"/>
      <c r="S62" s="0"/>
      <c r="T62" s="42"/>
      <c r="U62" s="0"/>
      <c r="V62" s="0"/>
      <c r="W62" s="0"/>
      <c r="X62" s="0"/>
      <c r="Y62" s="39"/>
      <c r="Z62" s="39"/>
      <c r="AA62" s="39"/>
      <c r="AB62" s="39"/>
      <c r="AC62" s="39"/>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5" hidden="false" customHeight="false" outlineLevel="0" collapsed="false">
      <c r="A63" s="0"/>
      <c r="B63" s="0"/>
      <c r="C63" s="0"/>
      <c r="D63" s="7" t="s">
        <v>99</v>
      </c>
      <c r="E63" s="0"/>
      <c r="F63" s="8" t="s">
        <v>100</v>
      </c>
      <c r="G63" s="0"/>
      <c r="H63" s="0"/>
      <c r="I63" s="40" t="n">
        <f aca="false">INDEX(K63:R63,,$F$6)</f>
        <v>30</v>
      </c>
      <c r="J63" s="0"/>
      <c r="K63" s="41" t="n">
        <v>30</v>
      </c>
      <c r="L63" s="41" t="n">
        <v>30</v>
      </c>
      <c r="M63" s="41" t="n">
        <v>30</v>
      </c>
      <c r="N63" s="41" t="n">
        <v>30</v>
      </c>
      <c r="O63" s="41" t="n">
        <v>30</v>
      </c>
      <c r="P63" s="41" t="n">
        <v>30</v>
      </c>
      <c r="Q63" s="41" t="n">
        <v>30</v>
      </c>
      <c r="R63" s="41" t="n">
        <v>30</v>
      </c>
      <c r="S63" s="0"/>
      <c r="T63" s="42"/>
      <c r="U63" s="0"/>
      <c r="V63" s="0"/>
      <c r="W63" s="0"/>
      <c r="X63" s="0"/>
      <c r="Y63" s="39"/>
      <c r="Z63" s="39"/>
      <c r="AA63" s="39"/>
      <c r="AB63" s="39"/>
      <c r="AC63" s="39"/>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5" hidden="false" customHeight="false" outlineLevel="0" collapsed="false">
      <c r="A64" s="0"/>
      <c r="B64" s="0"/>
      <c r="C64" s="0"/>
      <c r="D64" s="7" t="s">
        <v>101</v>
      </c>
      <c r="E64" s="0"/>
      <c r="F64" s="8" t="s">
        <v>100</v>
      </c>
      <c r="G64" s="0"/>
      <c r="H64" s="0"/>
      <c r="I64" s="40" t="n">
        <f aca="false">INDEX(K64:R64,,$F$6)</f>
        <v>45</v>
      </c>
      <c r="J64" s="0"/>
      <c r="K64" s="41" t="n">
        <v>45</v>
      </c>
      <c r="L64" s="41" t="n">
        <v>45</v>
      </c>
      <c r="M64" s="41" t="n">
        <v>45</v>
      </c>
      <c r="N64" s="41" t="n">
        <v>45</v>
      </c>
      <c r="O64" s="41" t="n">
        <v>45</v>
      </c>
      <c r="P64" s="41" t="n">
        <v>45</v>
      </c>
      <c r="Q64" s="41" t="n">
        <v>45</v>
      </c>
      <c r="R64" s="41" t="n">
        <v>45</v>
      </c>
      <c r="S64" s="0"/>
      <c r="T64" s="42"/>
      <c r="U64" s="0"/>
      <c r="V64" s="0"/>
      <c r="W64" s="0"/>
      <c r="X64" s="0"/>
      <c r="Y64" s="39"/>
      <c r="Z64" s="39"/>
      <c r="AA64" s="39"/>
      <c r="AB64" s="39"/>
      <c r="AC64" s="39"/>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5" hidden="false" customHeight="false" outlineLevel="0" collapsed="false">
      <c r="A65" s="0"/>
      <c r="B65" s="0"/>
      <c r="C65" s="0"/>
      <c r="D65" s="7" t="s">
        <v>102</v>
      </c>
      <c r="E65" s="0"/>
      <c r="F65" s="8" t="s">
        <v>103</v>
      </c>
      <c r="G65" s="0"/>
      <c r="H65" s="0"/>
      <c r="I65" s="40" t="n">
        <f aca="false">INDEX(K65:R65,,$F$6)</f>
        <v>1</v>
      </c>
      <c r="J65" s="0"/>
      <c r="K65" s="41" t="n">
        <v>1</v>
      </c>
      <c r="L65" s="41" t="n">
        <v>1</v>
      </c>
      <c r="M65" s="41" t="n">
        <v>1</v>
      </c>
      <c r="N65" s="41" t="n">
        <v>1</v>
      </c>
      <c r="O65" s="41" t="n">
        <v>1</v>
      </c>
      <c r="P65" s="41" t="n">
        <v>1</v>
      </c>
      <c r="Q65" s="41" t="n">
        <v>1</v>
      </c>
      <c r="R65" s="41" t="n">
        <v>1</v>
      </c>
      <c r="S65" s="0"/>
      <c r="T65" s="42"/>
      <c r="U65" s="0"/>
      <c r="V65" s="0"/>
      <c r="W65" s="0"/>
      <c r="X65" s="0"/>
      <c r="Y65" s="39"/>
      <c r="Z65" s="39"/>
      <c r="AA65" s="39"/>
      <c r="AB65" s="39"/>
      <c r="AC65" s="39"/>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5" hidden="false" customHeight="false" outlineLevel="0" collapsed="false">
      <c r="A66" s="0"/>
      <c r="B66" s="0"/>
      <c r="C66" s="0"/>
      <c r="D66" s="0"/>
      <c r="E66" s="0"/>
      <c r="F66" s="0"/>
      <c r="G66" s="0"/>
      <c r="H66" s="0"/>
      <c r="I66" s="0"/>
      <c r="J66" s="0"/>
      <c r="K66" s="0"/>
      <c r="L66" s="0"/>
      <c r="M66" s="0"/>
      <c r="N66" s="0"/>
      <c r="O66" s="0"/>
      <c r="P66" s="0"/>
      <c r="Q66" s="0"/>
      <c r="R66" s="0"/>
      <c r="S66" s="0"/>
      <c r="T66" s="7"/>
      <c r="U66" s="0"/>
      <c r="V66" s="0"/>
      <c r="W66" s="0"/>
      <c r="X66" s="0"/>
      <c r="Y66" s="39"/>
      <c r="Z66" s="39"/>
      <c r="AA66" s="39"/>
      <c r="AB66" s="39"/>
      <c r="AC66" s="39"/>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5" hidden="false" customHeight="false" outlineLevel="0" collapsed="false">
      <c r="A67" s="0"/>
      <c r="B67" s="38" t="n">
        <f aca="false">(MAX($A$7:B66)+0.1)</f>
        <v>1.8</v>
      </c>
      <c r="C67" s="0"/>
      <c r="D67" s="38" t="s">
        <v>104</v>
      </c>
      <c r="E67" s="0"/>
      <c r="F67" s="0"/>
      <c r="G67" s="0"/>
      <c r="H67" s="0"/>
      <c r="I67" s="0"/>
      <c r="J67" s="0"/>
      <c r="K67" s="0"/>
      <c r="L67" s="0"/>
      <c r="M67" s="0"/>
      <c r="N67" s="0"/>
      <c r="O67" s="0"/>
      <c r="P67" s="0"/>
      <c r="Q67" s="0"/>
      <c r="R67" s="0"/>
      <c r="S67" s="0"/>
      <c r="T67" s="7"/>
      <c r="U67" s="0"/>
      <c r="V67" s="0"/>
      <c r="W67" s="0"/>
      <c r="X67" s="0"/>
      <c r="Y67" s="39"/>
      <c r="Z67" s="39"/>
      <c r="AA67" s="39"/>
      <c r="AB67" s="39"/>
      <c r="AC67" s="39"/>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5" hidden="false" customHeight="false" outlineLevel="0" collapsed="false">
      <c r="A68" s="0"/>
      <c r="B68" s="38"/>
      <c r="C68" s="0"/>
      <c r="D68" s="7" t="s">
        <v>105</v>
      </c>
      <c r="E68" s="0"/>
      <c r="F68" s="8" t="s">
        <v>34</v>
      </c>
      <c r="G68" s="0"/>
      <c r="H68" s="0"/>
      <c r="I68" s="46" t="n">
        <f aca="false">INDEX(K68:R68,,$F$6)</f>
        <v>0.03</v>
      </c>
      <c r="J68" s="0"/>
      <c r="K68" s="47" t="n">
        <v>0.03</v>
      </c>
      <c r="L68" s="47" t="n">
        <v>0.03</v>
      </c>
      <c r="M68" s="47" t="n">
        <v>0.03</v>
      </c>
      <c r="N68" s="47" t="n">
        <v>0.03</v>
      </c>
      <c r="O68" s="47" t="n">
        <v>0.03</v>
      </c>
      <c r="P68" s="47" t="n">
        <v>0.03</v>
      </c>
      <c r="Q68" s="47" t="n">
        <v>0.03</v>
      </c>
      <c r="R68" s="47" t="n">
        <v>0.03</v>
      </c>
      <c r="S68" s="0"/>
      <c r="T68" s="7"/>
      <c r="U68" s="0"/>
      <c r="V68" s="0"/>
      <c r="W68" s="0"/>
      <c r="X68" s="0"/>
      <c r="Y68" s="39"/>
      <c r="Z68" s="39"/>
      <c r="AA68" s="39"/>
      <c r="AB68" s="39"/>
      <c r="AC68" s="39"/>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5" hidden="false" customHeight="false" outlineLevel="0" collapsed="false">
      <c r="A69" s="0"/>
      <c r="B69" s="38"/>
      <c r="C69" s="0"/>
      <c r="D69" s="0"/>
      <c r="E69" s="0"/>
      <c r="F69" s="0"/>
      <c r="G69" s="0"/>
      <c r="H69" s="0"/>
      <c r="I69" s="0"/>
      <c r="J69" s="0"/>
      <c r="K69" s="0"/>
      <c r="L69" s="0"/>
      <c r="M69" s="0"/>
      <c r="N69" s="0"/>
      <c r="O69" s="0"/>
      <c r="P69" s="0"/>
      <c r="Q69" s="0"/>
      <c r="R69" s="0"/>
      <c r="S69" s="0"/>
      <c r="T69" s="7"/>
      <c r="U69" s="0"/>
      <c r="V69" s="0"/>
      <c r="W69" s="0"/>
      <c r="X69" s="0"/>
      <c r="Y69" s="39"/>
      <c r="Z69" s="39"/>
      <c r="AA69" s="39"/>
      <c r="AB69" s="39"/>
      <c r="AC69" s="39"/>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15" hidden="false" customHeight="false" outlineLevel="0" collapsed="false">
      <c r="A70" s="0"/>
      <c r="B70" s="38" t="n">
        <f aca="false">(MAX($A$7:B69)+0.1)</f>
        <v>1.9</v>
      </c>
      <c r="C70" s="0"/>
      <c r="D70" s="38" t="s">
        <v>106</v>
      </c>
      <c r="E70" s="0"/>
      <c r="F70" s="0"/>
      <c r="G70" s="0"/>
      <c r="H70" s="0"/>
      <c r="I70" s="0"/>
      <c r="J70" s="0"/>
      <c r="K70" s="0"/>
      <c r="L70" s="0"/>
      <c r="M70" s="0"/>
      <c r="N70" s="0"/>
      <c r="O70" s="0"/>
      <c r="P70" s="0"/>
      <c r="Q70" s="0"/>
      <c r="R70" s="0"/>
      <c r="S70" s="0"/>
      <c r="T70" s="0"/>
      <c r="U70" s="0"/>
      <c r="V70" s="0"/>
      <c r="W70" s="0"/>
      <c r="X70" s="0"/>
      <c r="Y70" s="39"/>
      <c r="Z70" s="39"/>
      <c r="AA70" s="39"/>
      <c r="AB70" s="39"/>
      <c r="AC70" s="39"/>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5" hidden="false" customHeight="false" outlineLevel="0" collapsed="false">
      <c r="A71" s="0"/>
      <c r="B71" s="0"/>
      <c r="C71" s="0"/>
      <c r="D71" s="0"/>
      <c r="E71" s="0"/>
      <c r="F71" s="7"/>
      <c r="G71" s="7"/>
      <c r="H71" s="0"/>
      <c r="I71" s="0"/>
      <c r="J71" s="0"/>
      <c r="K71" s="0"/>
      <c r="L71" s="0"/>
      <c r="M71" s="0"/>
      <c r="N71" s="0"/>
      <c r="O71" s="0"/>
      <c r="P71" s="0"/>
      <c r="Q71" s="0"/>
      <c r="R71" s="0"/>
      <c r="S71" s="0"/>
      <c r="T71" s="8" t="n">
        <v>-3</v>
      </c>
      <c r="U71" s="8" t="n">
        <v>-2</v>
      </c>
      <c r="V71" s="8" t="n">
        <v>-1</v>
      </c>
      <c r="W71" s="88" t="s">
        <v>107</v>
      </c>
      <c r="X71" s="8"/>
      <c r="Y71" s="39"/>
      <c r="Z71" s="39"/>
      <c r="AA71" s="39"/>
      <c r="AB71" s="39"/>
      <c r="AC71" s="39"/>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5" hidden="false" customHeight="false" outlineLevel="0" collapsed="false">
      <c r="A72" s="0"/>
      <c r="B72" s="0"/>
      <c r="C72" s="0"/>
      <c r="D72" s="7" t="s">
        <v>108</v>
      </c>
      <c r="E72" s="0"/>
      <c r="F72" s="8" t="n">
        <v>-3</v>
      </c>
      <c r="G72" s="0"/>
      <c r="H72" s="0"/>
      <c r="I72" s="46" t="n">
        <f aca="false">INDEX(K72:R72,,$F$6)</f>
        <v>0</v>
      </c>
      <c r="J72" s="0"/>
      <c r="K72" s="47" t="n">
        <v>0</v>
      </c>
      <c r="L72" s="47" t="n">
        <v>0</v>
      </c>
      <c r="M72" s="47" t="n">
        <v>0</v>
      </c>
      <c r="N72" s="47" t="n">
        <v>0</v>
      </c>
      <c r="O72" s="47" t="n">
        <v>0</v>
      </c>
      <c r="P72" s="47" t="n">
        <v>0</v>
      </c>
      <c r="Q72" s="47" t="n">
        <v>0</v>
      </c>
      <c r="R72" s="47" t="n">
        <v>0</v>
      </c>
      <c r="S72" s="0"/>
      <c r="T72" s="89" t="str">
        <f aca="false">IF(I72&lt;=0,"",I72)</f>
        <v/>
      </c>
      <c r="U72" s="53" t="str">
        <f aca="false">IF(I73&lt;=0,"",I73)</f>
        <v/>
      </c>
      <c r="V72" s="53" t="n">
        <f aca="false">IF(I74&lt;=0,"",I74)</f>
        <v>1</v>
      </c>
      <c r="W72" s="90" t="n">
        <f aca="false">SUM(T72:V72)</f>
        <v>1</v>
      </c>
      <c r="X72" s="53"/>
      <c r="Y72" s="39"/>
      <c r="Z72" s="39"/>
      <c r="AA72" s="39"/>
      <c r="AB72" s="39"/>
      <c r="AC72" s="39"/>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5" hidden="false" customHeight="false" outlineLevel="0" collapsed="false">
      <c r="A73" s="0"/>
      <c r="B73" s="0"/>
      <c r="C73" s="0"/>
      <c r="D73" s="0"/>
      <c r="E73" s="0"/>
      <c r="F73" s="8" t="n">
        <v>-2</v>
      </c>
      <c r="G73" s="0"/>
      <c r="H73" s="0"/>
      <c r="I73" s="46" t="n">
        <f aca="false">INDEX(K73:R73,,$F$6)</f>
        <v>0</v>
      </c>
      <c r="J73" s="0"/>
      <c r="K73" s="47" t="n">
        <v>0</v>
      </c>
      <c r="L73" s="47" t="n">
        <v>0</v>
      </c>
      <c r="M73" s="47" t="n">
        <v>0</v>
      </c>
      <c r="N73" s="47" t="n">
        <v>0</v>
      </c>
      <c r="O73" s="47" t="n">
        <v>0</v>
      </c>
      <c r="P73" s="47" t="n">
        <v>0</v>
      </c>
      <c r="Q73" s="47" t="n">
        <v>0</v>
      </c>
      <c r="R73" s="47" t="n">
        <v>0</v>
      </c>
      <c r="S73" s="0"/>
      <c r="T73" s="0"/>
      <c r="U73" s="0"/>
      <c r="V73" s="0"/>
      <c r="W73" s="0"/>
      <c r="X73" s="0"/>
      <c r="Y73" s="39"/>
      <c r="Z73" s="39"/>
      <c r="AA73" s="39"/>
      <c r="AB73" s="39"/>
      <c r="AC73" s="39"/>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5" hidden="false" customHeight="false" outlineLevel="0" collapsed="false">
      <c r="A74" s="0"/>
      <c r="B74" s="0"/>
      <c r="C74" s="0"/>
      <c r="D74" s="0"/>
      <c r="E74" s="0"/>
      <c r="F74" s="8" t="n">
        <v>-1</v>
      </c>
      <c r="G74" s="0"/>
      <c r="H74" s="0"/>
      <c r="I74" s="91" t="n">
        <f aca="false">1-I73-I72</f>
        <v>1</v>
      </c>
      <c r="J74" s="0"/>
      <c r="K74" s="0"/>
      <c r="L74" s="0"/>
      <c r="M74" s="0"/>
      <c r="N74" s="0"/>
      <c r="O74" s="0"/>
      <c r="P74" s="0"/>
      <c r="Q74" s="0"/>
      <c r="R74" s="0"/>
      <c r="S74" s="0"/>
      <c r="T74" s="0"/>
      <c r="U74" s="0"/>
      <c r="V74" s="0"/>
      <c r="W74" s="0"/>
      <c r="X74" s="0"/>
      <c r="Y74" s="39"/>
      <c r="Z74" s="39"/>
      <c r="AA74" s="39"/>
      <c r="AB74" s="39"/>
      <c r="AC74" s="39"/>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5" hidden="false" customHeight="false" outlineLevel="0" collapsed="false">
      <c r="A75" s="0"/>
      <c r="B75" s="0"/>
      <c r="C75" s="0"/>
      <c r="D75" s="7" t="s">
        <v>109</v>
      </c>
      <c r="E75" s="0"/>
      <c r="F75" s="8" t="s">
        <v>110</v>
      </c>
      <c r="G75" s="0"/>
      <c r="H75" s="0"/>
      <c r="I75" s="0"/>
      <c r="J75" s="0"/>
      <c r="K75" s="0"/>
      <c r="L75" s="0"/>
      <c r="M75" s="0"/>
      <c r="N75" s="0"/>
      <c r="O75" s="0"/>
      <c r="P75" s="0"/>
      <c r="Q75" s="0"/>
      <c r="R75" s="0"/>
      <c r="S75" s="0"/>
      <c r="T75" s="8" t="n">
        <f aca="false">COUNT(T72:V72)</f>
        <v>1</v>
      </c>
      <c r="U75" s="0"/>
      <c r="V75" s="0"/>
      <c r="W75" s="0"/>
      <c r="X75" s="0"/>
      <c r="Y75" s="39"/>
      <c r="Z75" s="39"/>
      <c r="AA75" s="39"/>
      <c r="AB75" s="39"/>
      <c r="AC75" s="39"/>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5" hidden="false" customHeight="false" outlineLevel="0" collapsed="false">
      <c r="A76" s="0"/>
      <c r="B76" s="0"/>
      <c r="C76" s="0"/>
      <c r="D76" s="7" t="s">
        <v>111</v>
      </c>
      <c r="E76" s="0"/>
      <c r="F76" s="8" t="s">
        <v>110</v>
      </c>
      <c r="G76" s="0"/>
      <c r="H76" s="0"/>
      <c r="I76" s="40" t="n">
        <f aca="false">INDEX(K76:R76,,$F$6)</f>
        <v>20</v>
      </c>
      <c r="J76" s="0"/>
      <c r="K76" s="41" t="n">
        <v>20</v>
      </c>
      <c r="L76" s="41" t="n">
        <v>20</v>
      </c>
      <c r="M76" s="41" t="n">
        <v>20</v>
      </c>
      <c r="N76" s="41" t="n">
        <v>20</v>
      </c>
      <c r="O76" s="41" t="n">
        <v>20</v>
      </c>
      <c r="P76" s="41" t="n">
        <v>20</v>
      </c>
      <c r="Q76" s="41" t="n">
        <v>20</v>
      </c>
      <c r="R76" s="41" t="n">
        <v>20</v>
      </c>
      <c r="S76" s="0"/>
      <c r="T76" s="0"/>
      <c r="U76" s="0"/>
      <c r="V76" s="0"/>
      <c r="W76" s="0"/>
      <c r="X76" s="0"/>
      <c r="Y76" s="39"/>
      <c r="Z76" s="39"/>
      <c r="AA76" s="39"/>
      <c r="AB76" s="39"/>
      <c r="AC76" s="39"/>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5" hidden="false" customHeight="false" outlineLevel="0" collapsed="false">
      <c r="A77" s="0"/>
      <c r="B77" s="0"/>
      <c r="C77" s="0"/>
      <c r="D77" s="7" t="s">
        <v>112</v>
      </c>
      <c r="E77" s="0"/>
      <c r="F77" s="8" t="s">
        <v>113</v>
      </c>
      <c r="G77" s="0"/>
      <c r="H77" s="0"/>
      <c r="I77" s="92" t="n">
        <f aca="false">INDEX(K77:R77,,$F$6)</f>
        <v>42522</v>
      </c>
      <c r="J77" s="0"/>
      <c r="K77" s="93" t="n">
        <v>42522</v>
      </c>
      <c r="L77" s="93" t="n">
        <v>42522</v>
      </c>
      <c r="M77" s="93" t="n">
        <v>42522</v>
      </c>
      <c r="N77" s="93" t="n">
        <v>42522</v>
      </c>
      <c r="O77" s="93" t="n">
        <v>42522</v>
      </c>
      <c r="P77" s="93" t="n">
        <v>42522</v>
      </c>
      <c r="Q77" s="93" t="n">
        <v>42522</v>
      </c>
      <c r="R77" s="93" t="n">
        <v>42522</v>
      </c>
      <c r="S77" s="0"/>
      <c r="T77" s="0"/>
      <c r="U77" s="0"/>
      <c r="V77" s="0"/>
      <c r="W77" s="0"/>
      <c r="X77" s="0"/>
      <c r="Y77" s="39"/>
      <c r="Z77" s="39"/>
      <c r="AA77" s="39"/>
      <c r="AB77" s="39"/>
      <c r="AC77" s="39"/>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5" hidden="false" customHeight="false" outlineLevel="0" collapsed="false">
      <c r="A78" s="0"/>
      <c r="B78" s="0"/>
      <c r="C78" s="0"/>
      <c r="D78" s="0"/>
      <c r="E78" s="0"/>
      <c r="F78" s="0"/>
      <c r="G78" s="0"/>
      <c r="H78" s="0"/>
      <c r="I78" s="0"/>
      <c r="J78" s="0"/>
      <c r="K78" s="0"/>
      <c r="L78" s="0"/>
      <c r="M78" s="0"/>
      <c r="N78" s="0"/>
      <c r="O78" s="0"/>
      <c r="P78" s="0"/>
      <c r="Q78" s="0"/>
      <c r="R78" s="0"/>
      <c r="S78" s="0"/>
      <c r="T78" s="0"/>
      <c r="U78" s="0"/>
      <c r="V78" s="0"/>
      <c r="W78" s="0"/>
      <c r="X78" s="0"/>
      <c r="Y78" s="39"/>
      <c r="Z78" s="39"/>
      <c r="AA78" s="39"/>
      <c r="AB78" s="39"/>
      <c r="AC78" s="39"/>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5" hidden="false" customHeight="false" outlineLevel="0" collapsed="false">
      <c r="A79" s="0"/>
      <c r="B79" s="0"/>
      <c r="C79" s="0"/>
      <c r="D79" s="0"/>
      <c r="E79" s="0"/>
      <c r="F79" s="0"/>
      <c r="G79" s="0"/>
      <c r="H79" s="0"/>
      <c r="I79" s="0"/>
      <c r="J79" s="0"/>
      <c r="K79" s="0"/>
      <c r="L79" s="0"/>
      <c r="M79" s="0"/>
      <c r="N79" s="0"/>
      <c r="O79" s="0"/>
      <c r="P79" s="0"/>
      <c r="Q79" s="0"/>
      <c r="R79" s="0"/>
      <c r="S79" s="0"/>
      <c r="T79" s="0"/>
      <c r="U79" s="0"/>
      <c r="V79" s="0"/>
      <c r="W79" s="0"/>
      <c r="X79" s="0"/>
      <c r="Y79" s="39"/>
      <c r="Z79" s="39"/>
      <c r="AA79" s="39"/>
      <c r="AB79" s="39"/>
      <c r="AC79" s="39"/>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s="30" customFormat="true" ht="16.9" hidden="false" customHeight="true" outlineLevel="0" collapsed="false">
      <c r="A80" s="30" t="n">
        <f aca="false">COUNT($A$7:A79)+1</f>
        <v>2</v>
      </c>
      <c r="D80" s="30" t="s">
        <v>114</v>
      </c>
      <c r="F80" s="31"/>
      <c r="G80" s="31"/>
      <c r="H80" s="32"/>
      <c r="I80" s="31"/>
      <c r="J80" s="31"/>
      <c r="K80" s="31"/>
      <c r="L80" s="31"/>
      <c r="M80" s="31"/>
      <c r="N80" s="31"/>
      <c r="O80" s="31"/>
      <c r="P80" s="31"/>
      <c r="Q80" s="31"/>
      <c r="R80" s="31"/>
      <c r="S80" s="33"/>
      <c r="T80" s="31"/>
      <c r="W80" s="34"/>
      <c r="Y80" s="94"/>
      <c r="Z80" s="94"/>
      <c r="AA80" s="94"/>
      <c r="AB80" s="94"/>
      <c r="AC80" s="94"/>
      <c r="AE80" s="36"/>
    </row>
    <row r="81" customFormat="false" ht="15" hidden="false" customHeight="false" outlineLevel="0" collapsed="false">
      <c r="B81" s="0"/>
      <c r="D81" s="0"/>
      <c r="E81" s="0"/>
      <c r="F81" s="0"/>
      <c r="G81" s="0"/>
      <c r="H81" s="0"/>
      <c r="I81" s="0"/>
      <c r="K81" s="0"/>
      <c r="L81" s="0"/>
      <c r="M81" s="0"/>
      <c r="N81" s="0"/>
      <c r="O81" s="0"/>
      <c r="P81" s="0"/>
      <c r="Q81" s="0"/>
      <c r="R81" s="0"/>
      <c r="T81" s="0"/>
      <c r="U81" s="0"/>
      <c r="Y81" s="39"/>
      <c r="Z81" s="39"/>
      <c r="AA81" s="39"/>
      <c r="AB81" s="39"/>
      <c r="AC81" s="39"/>
      <c r="AE81" s="0"/>
    </row>
    <row r="82" customFormat="false" ht="15" hidden="false" customHeight="false" outlineLevel="0" collapsed="false">
      <c r="B82" s="38" t="n">
        <f aca="false">(MAX($A$7:B81)+0.1)</f>
        <v>2.1</v>
      </c>
      <c r="D82" s="38" t="s">
        <v>115</v>
      </c>
      <c r="E82" s="0"/>
      <c r="F82" s="0"/>
      <c r="G82" s="0"/>
      <c r="H82" s="0"/>
      <c r="I82" s="0"/>
      <c r="K82" s="0"/>
      <c r="L82" s="0"/>
      <c r="M82" s="0"/>
      <c r="N82" s="0"/>
      <c r="O82" s="0"/>
      <c r="P82" s="0"/>
      <c r="Q82" s="0"/>
      <c r="R82" s="0"/>
      <c r="T82" s="95"/>
      <c r="U82" s="0"/>
      <c r="Y82" s="39"/>
      <c r="Z82" s="39"/>
      <c r="AA82" s="39"/>
      <c r="AB82" s="39"/>
      <c r="AC82" s="39"/>
      <c r="AE82" s="0"/>
    </row>
    <row r="83" customFormat="false" ht="15" hidden="false" customHeight="false" outlineLevel="0" collapsed="false">
      <c r="B83" s="0"/>
      <c r="D83" s="7" t="s">
        <v>116</v>
      </c>
      <c r="E83" s="0"/>
      <c r="F83" s="8" t="s">
        <v>110</v>
      </c>
      <c r="G83" s="0"/>
      <c r="H83" s="0"/>
      <c r="I83" s="40" t="n">
        <f aca="false">INDEX(K83:R83,,$F$6)</f>
        <v>20</v>
      </c>
      <c r="K83" s="41" t="n">
        <v>20</v>
      </c>
      <c r="L83" s="41" t="n">
        <v>20</v>
      </c>
      <c r="M83" s="41" t="n">
        <v>20</v>
      </c>
      <c r="N83" s="41" t="n">
        <v>20</v>
      </c>
      <c r="O83" s="41" t="n">
        <v>20</v>
      </c>
      <c r="P83" s="41" t="n">
        <v>20</v>
      </c>
      <c r="Q83" s="41" t="n">
        <v>20</v>
      </c>
      <c r="R83" s="41" t="n">
        <v>20</v>
      </c>
      <c r="T83" s="95"/>
      <c r="U83" s="0"/>
      <c r="Y83" s="39"/>
      <c r="Z83" s="39"/>
      <c r="AA83" s="39"/>
      <c r="AB83" s="39"/>
      <c r="AC83" s="39"/>
      <c r="AE83" s="0"/>
    </row>
    <row r="84" customFormat="false" ht="15" hidden="false" customHeight="false" outlineLevel="0" collapsed="false">
      <c r="B84" s="0"/>
      <c r="D84" s="7" t="s">
        <v>117</v>
      </c>
      <c r="E84" s="0"/>
      <c r="F84" s="0"/>
      <c r="G84" s="0"/>
      <c r="H84" s="0"/>
      <c r="I84" s="0"/>
      <c r="K84" s="0"/>
      <c r="L84" s="0"/>
      <c r="M84" s="0"/>
      <c r="N84" s="0"/>
      <c r="O84" s="0"/>
      <c r="P84" s="0"/>
      <c r="Q84" s="0"/>
      <c r="R84" s="0"/>
      <c r="T84" s="95"/>
      <c r="U84" s="0"/>
      <c r="Y84" s="39"/>
      <c r="Z84" s="39"/>
      <c r="AA84" s="39"/>
      <c r="AB84" s="39"/>
      <c r="AC84" s="39"/>
      <c r="AE84" s="0"/>
    </row>
    <row r="85" customFormat="false" ht="15" hidden="false" customHeight="false" outlineLevel="0" collapsed="false">
      <c r="B85" s="0"/>
      <c r="D85" s="0"/>
      <c r="E85" s="0"/>
      <c r="F85" s="0"/>
      <c r="G85" s="0"/>
      <c r="H85" s="0"/>
      <c r="I85" s="0"/>
      <c r="K85" s="0"/>
      <c r="L85" s="0"/>
      <c r="M85" s="0"/>
      <c r="N85" s="0"/>
      <c r="O85" s="0"/>
      <c r="P85" s="0"/>
      <c r="Q85" s="0"/>
      <c r="R85" s="0"/>
      <c r="T85" s="95"/>
      <c r="U85" s="0"/>
      <c r="Y85" s="39"/>
      <c r="Z85" s="39"/>
      <c r="AA85" s="39"/>
      <c r="AB85" s="39"/>
      <c r="AC85" s="39"/>
      <c r="AE85" s="0"/>
    </row>
    <row r="86" customFormat="false" ht="15" hidden="false" customHeight="false" outlineLevel="0" collapsed="false">
      <c r="B86" s="38" t="n">
        <f aca="false">(MAX($A$7:B85)+0.1)</f>
        <v>2.2</v>
      </c>
      <c r="D86" s="38" t="s">
        <v>118</v>
      </c>
      <c r="E86" s="0"/>
      <c r="F86" s="0"/>
      <c r="G86" s="0"/>
      <c r="H86" s="0"/>
      <c r="I86" s="0"/>
      <c r="K86" s="0"/>
      <c r="L86" s="0"/>
      <c r="M86" s="0"/>
      <c r="N86" s="0"/>
      <c r="O86" s="0"/>
      <c r="P86" s="0"/>
      <c r="Q86" s="0"/>
      <c r="R86" s="0"/>
      <c r="T86" s="95"/>
      <c r="U86" s="0"/>
      <c r="Y86" s="39"/>
      <c r="Z86" s="39"/>
      <c r="AA86" s="39"/>
      <c r="AB86" s="39"/>
      <c r="AC86" s="39"/>
      <c r="AE86" s="0"/>
    </row>
    <row r="87" customFormat="false" ht="15" hidden="false" customHeight="false" outlineLevel="0" collapsed="false">
      <c r="B87" s="0"/>
      <c r="D87" s="7" t="s">
        <v>119</v>
      </c>
      <c r="E87" s="0"/>
      <c r="F87" s="8" t="s">
        <v>34</v>
      </c>
      <c r="G87" s="0"/>
      <c r="H87" s="0"/>
      <c r="I87" s="50" t="n">
        <f aca="false">INDEX(K87:R87,,$F$6)</f>
        <v>0.35</v>
      </c>
      <c r="K87" s="51" t="n">
        <v>0.35</v>
      </c>
      <c r="L87" s="51" t="n">
        <v>0.35</v>
      </c>
      <c r="M87" s="51" t="n">
        <v>0.35</v>
      </c>
      <c r="N87" s="51" t="n">
        <v>0.35</v>
      </c>
      <c r="O87" s="51" t="n">
        <v>0.35</v>
      </c>
      <c r="P87" s="51" t="n">
        <v>0.35</v>
      </c>
      <c r="Q87" s="51" t="n">
        <v>0.35</v>
      </c>
      <c r="R87" s="51" t="n">
        <v>0.35</v>
      </c>
      <c r="T87" s="95"/>
      <c r="U87" s="0"/>
      <c r="Y87" s="39"/>
      <c r="Z87" s="39"/>
      <c r="AA87" s="39"/>
      <c r="AB87" s="39"/>
      <c r="AC87" s="39"/>
      <c r="AE87" s="0"/>
    </row>
    <row r="88" customFormat="false" ht="15" hidden="false" customHeight="false" outlineLevel="0" collapsed="false">
      <c r="B88" s="0"/>
      <c r="D88" s="7" t="s">
        <v>120</v>
      </c>
      <c r="E88" s="0"/>
      <c r="F88" s="8" t="s">
        <v>110</v>
      </c>
      <c r="G88" s="0"/>
      <c r="H88" s="0"/>
      <c r="I88" s="40" t="n">
        <f aca="false">INDEX(K88:R88,,$F$6)</f>
        <v>15</v>
      </c>
      <c r="K88" s="41" t="n">
        <v>15</v>
      </c>
      <c r="L88" s="41" t="n">
        <v>15</v>
      </c>
      <c r="M88" s="41" t="n">
        <v>15</v>
      </c>
      <c r="N88" s="41" t="n">
        <v>15</v>
      </c>
      <c r="O88" s="41" t="n">
        <v>15</v>
      </c>
      <c r="P88" s="41" t="n">
        <v>15</v>
      </c>
      <c r="Q88" s="41" t="n">
        <v>15</v>
      </c>
      <c r="R88" s="41" t="n">
        <v>15</v>
      </c>
      <c r="T88" s="95"/>
      <c r="U88" s="0"/>
      <c r="Y88" s="39"/>
      <c r="Z88" s="39"/>
      <c r="AA88" s="39"/>
      <c r="AB88" s="39"/>
      <c r="AC88" s="39"/>
      <c r="AE88" s="0"/>
    </row>
    <row r="89" customFormat="false" ht="15" hidden="false" customHeight="false" outlineLevel="0" collapsed="false">
      <c r="B89" s="0"/>
      <c r="D89" s="7" t="s">
        <v>121</v>
      </c>
      <c r="E89" s="0"/>
      <c r="F89" s="8" t="s">
        <v>34</v>
      </c>
      <c r="G89" s="0"/>
      <c r="H89" s="0"/>
      <c r="I89" s="50" t="n">
        <f aca="false">INDEX(K89:R89,,$F$6)</f>
        <v>0.1</v>
      </c>
      <c r="K89" s="51" t="n">
        <v>0.1</v>
      </c>
      <c r="L89" s="51" t="n">
        <v>0.1</v>
      </c>
      <c r="M89" s="51" t="n">
        <v>0.1</v>
      </c>
      <c r="N89" s="51" t="n">
        <v>0.1</v>
      </c>
      <c r="O89" s="51" t="n">
        <v>0.1</v>
      </c>
      <c r="P89" s="51" t="n">
        <v>0.1</v>
      </c>
      <c r="Q89" s="51" t="n">
        <v>0.1</v>
      </c>
      <c r="R89" s="51" t="n">
        <v>0.1</v>
      </c>
      <c r="T89" s="95"/>
      <c r="U89" s="0"/>
      <c r="Y89" s="39"/>
      <c r="Z89" s="39"/>
      <c r="AA89" s="39"/>
      <c r="AB89" s="39"/>
      <c r="AC89" s="39"/>
      <c r="AE89" s="0"/>
    </row>
    <row r="90" customFormat="false" ht="15" hidden="false" customHeight="false" outlineLevel="0" collapsed="false">
      <c r="B90" s="0"/>
      <c r="D90" s="7" t="s">
        <v>122</v>
      </c>
      <c r="E90" s="0"/>
      <c r="F90" s="8" t="s">
        <v>34</v>
      </c>
      <c r="G90" s="0"/>
      <c r="H90" s="0"/>
      <c r="I90" s="50" t="n">
        <f aca="false">INDEX(K90:R90,,$F$6)</f>
        <v>0</v>
      </c>
      <c r="K90" s="51" t="n">
        <v>0</v>
      </c>
      <c r="L90" s="51" t="n">
        <v>0</v>
      </c>
      <c r="M90" s="51" t="n">
        <v>0</v>
      </c>
      <c r="N90" s="51" t="n">
        <v>0</v>
      </c>
      <c r="O90" s="51" t="n">
        <v>0</v>
      </c>
      <c r="P90" s="51" t="n">
        <v>0</v>
      </c>
      <c r="Q90" s="51" t="n">
        <v>0</v>
      </c>
      <c r="R90" s="51" t="n">
        <v>0</v>
      </c>
      <c r="T90" s="95"/>
      <c r="U90" s="0"/>
      <c r="Y90" s="39"/>
      <c r="Z90" s="39"/>
      <c r="AA90" s="39"/>
      <c r="AB90" s="39"/>
      <c r="AC90" s="39"/>
      <c r="AE90" s="0"/>
    </row>
    <row r="91" customFormat="false" ht="15" hidden="false" customHeight="false" outlineLevel="0" collapsed="false">
      <c r="B91" s="0"/>
      <c r="D91" s="7" t="s">
        <v>123</v>
      </c>
      <c r="E91" s="0"/>
      <c r="F91" s="8" t="s">
        <v>34</v>
      </c>
      <c r="G91" s="0"/>
      <c r="H91" s="0"/>
      <c r="I91" s="50" t="n">
        <f aca="false">INDEX(K91:R91,,$F$6)</f>
        <v>0</v>
      </c>
      <c r="K91" s="51" t="n">
        <v>0</v>
      </c>
      <c r="L91" s="51" t="n">
        <v>0</v>
      </c>
      <c r="M91" s="51" t="n">
        <v>0</v>
      </c>
      <c r="N91" s="51" t="n">
        <v>0</v>
      </c>
      <c r="O91" s="51" t="n">
        <v>0</v>
      </c>
      <c r="P91" s="51" t="n">
        <v>0</v>
      </c>
      <c r="Q91" s="51" t="n">
        <v>0</v>
      </c>
      <c r="R91" s="51" t="n">
        <v>0</v>
      </c>
      <c r="T91" s="95"/>
      <c r="U91" s="0"/>
      <c r="Y91" s="39"/>
      <c r="Z91" s="39"/>
      <c r="AA91" s="39"/>
      <c r="AB91" s="39"/>
      <c r="AC91" s="39"/>
      <c r="AE91" s="0"/>
    </row>
    <row r="92" customFormat="false" ht="15" hidden="false" customHeight="false" outlineLevel="0" collapsed="false">
      <c r="B92" s="0"/>
      <c r="D92" s="7" t="s">
        <v>124</v>
      </c>
      <c r="E92" s="0"/>
      <c r="F92" s="8" t="s">
        <v>110</v>
      </c>
      <c r="G92" s="0"/>
      <c r="H92" s="0"/>
      <c r="I92" s="40" t="n">
        <f aca="false">INDEX(K92:R92,,$F$6)</f>
        <v>0</v>
      </c>
      <c r="K92" s="41" t="n">
        <v>0</v>
      </c>
      <c r="L92" s="41" t="n">
        <v>0</v>
      </c>
      <c r="M92" s="41" t="n">
        <v>0</v>
      </c>
      <c r="N92" s="41" t="n">
        <v>0</v>
      </c>
      <c r="O92" s="41" t="n">
        <v>0</v>
      </c>
      <c r="P92" s="41" t="n">
        <v>0</v>
      </c>
      <c r="Q92" s="41" t="n">
        <v>0</v>
      </c>
      <c r="R92" s="41" t="n">
        <v>0</v>
      </c>
      <c r="T92" s="95"/>
      <c r="U92" s="0"/>
      <c r="Y92" s="39"/>
      <c r="Z92" s="39"/>
      <c r="AA92" s="39"/>
      <c r="AB92" s="39"/>
      <c r="AC92" s="39"/>
      <c r="AE92" s="0"/>
    </row>
    <row r="93" customFormat="false" ht="15" hidden="false" customHeight="false" outlineLevel="0" collapsed="false">
      <c r="B93" s="0"/>
      <c r="D93" s="7" t="s">
        <v>125</v>
      </c>
      <c r="E93" s="0"/>
      <c r="F93" s="8" t="s">
        <v>88</v>
      </c>
      <c r="G93" s="0"/>
      <c r="H93" s="0"/>
      <c r="I93" s="40" t="str">
        <f aca="false">INDEX(K93:R93,,$F$6)</f>
        <v>yes</v>
      </c>
      <c r="K93" s="52" t="s">
        <v>126</v>
      </c>
      <c r="L93" s="52" t="s">
        <v>126</v>
      </c>
      <c r="M93" s="52" t="s">
        <v>126</v>
      </c>
      <c r="N93" s="52" t="s">
        <v>126</v>
      </c>
      <c r="O93" s="52" t="s">
        <v>126</v>
      </c>
      <c r="P93" s="52" t="s">
        <v>126</v>
      </c>
      <c r="Q93" s="52" t="s">
        <v>126</v>
      </c>
      <c r="R93" s="52" t="s">
        <v>126</v>
      </c>
      <c r="T93" s="95"/>
      <c r="U93" s="0"/>
      <c r="Y93" s="39"/>
      <c r="Z93" s="39"/>
      <c r="AA93" s="39"/>
      <c r="AB93" s="39"/>
      <c r="AC93" s="39"/>
      <c r="AE93" s="0"/>
    </row>
    <row r="94" customFormat="false" ht="15" hidden="false" customHeight="false" outlineLevel="0" collapsed="false">
      <c r="B94" s="0"/>
      <c r="D94" s="7" t="s">
        <v>127</v>
      </c>
      <c r="E94" s="0"/>
      <c r="F94" s="8" t="s">
        <v>44</v>
      </c>
      <c r="G94" s="0"/>
      <c r="H94" s="0"/>
      <c r="I94" s="40" t="str">
        <f aca="false">INDEX(K94:R94,,$F$6)</f>
        <v>dividends</v>
      </c>
      <c r="K94" s="52" t="s">
        <v>128</v>
      </c>
      <c r="L94" s="52" t="s">
        <v>128</v>
      </c>
      <c r="M94" s="52" t="s">
        <v>128</v>
      </c>
      <c r="N94" s="52" t="s">
        <v>128</v>
      </c>
      <c r="O94" s="52" t="s">
        <v>128</v>
      </c>
      <c r="P94" s="52" t="s">
        <v>128</v>
      </c>
      <c r="Q94" s="52" t="s">
        <v>128</v>
      </c>
      <c r="R94" s="52" t="s">
        <v>128</v>
      </c>
      <c r="T94" s="95"/>
      <c r="U94" s="0"/>
      <c r="Y94" s="39"/>
      <c r="Z94" s="39"/>
      <c r="AA94" s="39"/>
      <c r="AB94" s="39"/>
      <c r="AC94" s="39"/>
      <c r="AE94" s="13" t="s">
        <v>129</v>
      </c>
    </row>
    <row r="95" customFormat="false" ht="15" hidden="false" customHeight="false" outlineLevel="0" collapsed="false">
      <c r="B95" s="0"/>
      <c r="D95" s="7" t="s">
        <v>130</v>
      </c>
      <c r="E95" s="0"/>
      <c r="F95" s="8" t="s">
        <v>88</v>
      </c>
      <c r="G95" s="0"/>
      <c r="H95" s="0"/>
      <c r="I95" s="40" t="str">
        <f aca="false">INDEX(K95:R95,,$F$6)</f>
        <v>no</v>
      </c>
      <c r="K95" s="52" t="s">
        <v>89</v>
      </c>
      <c r="L95" s="52" t="s">
        <v>89</v>
      </c>
      <c r="M95" s="52" t="s">
        <v>89</v>
      </c>
      <c r="N95" s="52" t="s">
        <v>89</v>
      </c>
      <c r="O95" s="52" t="s">
        <v>89</v>
      </c>
      <c r="P95" s="52" t="s">
        <v>89</v>
      </c>
      <c r="Q95" s="52" t="s">
        <v>89</v>
      </c>
      <c r="R95" s="52" t="s">
        <v>89</v>
      </c>
      <c r="T95" s="95"/>
      <c r="U95" s="0"/>
      <c r="Y95" s="39"/>
      <c r="Z95" s="39"/>
      <c r="AA95" s="39"/>
      <c r="AB95" s="39"/>
      <c r="AC95" s="39"/>
      <c r="AE95" s="13" t="s">
        <v>128</v>
      </c>
    </row>
    <row r="96" customFormat="false" ht="15" hidden="false" customHeight="false" outlineLevel="0" collapsed="false">
      <c r="B96" s="0"/>
      <c r="D96" s="7" t="s">
        <v>131</v>
      </c>
      <c r="E96" s="0"/>
      <c r="F96" s="8" t="s">
        <v>132</v>
      </c>
      <c r="G96" s="0"/>
      <c r="H96" s="0"/>
      <c r="I96" s="40" t="n">
        <f aca="false">INDEX(K96:R96,,$F$6)</f>
        <v>5</v>
      </c>
      <c r="K96" s="41" t="n">
        <v>5</v>
      </c>
      <c r="L96" s="41" t="n">
        <v>5</v>
      </c>
      <c r="M96" s="41" t="n">
        <v>5</v>
      </c>
      <c r="N96" s="41" t="n">
        <v>5</v>
      </c>
      <c r="O96" s="41" t="n">
        <v>5</v>
      </c>
      <c r="P96" s="41" t="n">
        <v>5</v>
      </c>
      <c r="Q96" s="41" t="n">
        <v>5</v>
      </c>
      <c r="R96" s="41" t="n">
        <v>5</v>
      </c>
      <c r="T96" s="95" t="n">
        <f aca="false">(I96-1)/Thin_Cap_Ratio</f>
        <v>0.8</v>
      </c>
      <c r="U96" s="0"/>
      <c r="Y96" s="39"/>
      <c r="Z96" s="39"/>
      <c r="AA96" s="39"/>
      <c r="AB96" s="39"/>
      <c r="AC96" s="39"/>
      <c r="AE96" s="0"/>
    </row>
    <row r="97" customFormat="false" ht="15" hidden="false" customHeight="false" outlineLevel="0" collapsed="false">
      <c r="B97" s="0"/>
      <c r="D97" s="7" t="s">
        <v>133</v>
      </c>
      <c r="E97" s="0"/>
      <c r="F97" s="8" t="s">
        <v>72</v>
      </c>
      <c r="G97" s="0"/>
      <c r="H97" s="0"/>
      <c r="I97" s="85" t="n">
        <f aca="false">INDEX(K97:R97,,$F$6)*1000</f>
        <v>75000</v>
      </c>
      <c r="K97" s="76" t="n">
        <v>75</v>
      </c>
      <c r="L97" s="76" t="n">
        <v>75</v>
      </c>
      <c r="M97" s="76" t="n">
        <v>75</v>
      </c>
      <c r="N97" s="76" t="n">
        <v>75</v>
      </c>
      <c r="O97" s="76" t="n">
        <v>75</v>
      </c>
      <c r="P97" s="76" t="n">
        <v>75</v>
      </c>
      <c r="Q97" s="76" t="n">
        <v>75</v>
      </c>
      <c r="R97" s="76" t="n">
        <v>75</v>
      </c>
      <c r="T97" s="95"/>
      <c r="U97" s="0"/>
      <c r="Y97" s="39"/>
      <c r="Z97" s="39"/>
      <c r="AA97" s="39"/>
      <c r="AB97" s="39"/>
      <c r="AC97" s="39"/>
      <c r="AE97" s="0"/>
    </row>
    <row r="98" customFormat="false" ht="15" hidden="false" customHeight="false" outlineLevel="0" collapsed="false">
      <c r="B98" s="0"/>
      <c r="D98" s="0"/>
      <c r="E98" s="0"/>
      <c r="F98" s="0"/>
      <c r="G98" s="0"/>
      <c r="H98" s="0"/>
      <c r="I98" s="0"/>
      <c r="K98" s="0"/>
      <c r="L98" s="0"/>
      <c r="M98" s="0"/>
      <c r="N98" s="0"/>
      <c r="O98" s="0"/>
      <c r="P98" s="0"/>
      <c r="Q98" s="0"/>
      <c r="R98" s="0"/>
      <c r="T98" s="0"/>
      <c r="U98" s="0"/>
      <c r="Y98" s="39"/>
      <c r="Z98" s="39"/>
      <c r="AA98" s="39"/>
      <c r="AB98" s="39"/>
      <c r="AC98" s="39"/>
      <c r="AE98" s="0"/>
    </row>
    <row r="99" customFormat="false" ht="15" hidden="false" customHeight="false" outlineLevel="0" collapsed="false">
      <c r="B99" s="38" t="n">
        <f aca="false">(MAX($A$7:B98)+0.1)</f>
        <v>2.3</v>
      </c>
      <c r="D99" s="38" t="s">
        <v>134</v>
      </c>
      <c r="E99" s="0"/>
      <c r="F99" s="0"/>
      <c r="G99" s="0"/>
      <c r="H99" s="0"/>
      <c r="I99" s="0"/>
      <c r="K99" s="0"/>
      <c r="L99" s="0"/>
      <c r="M99" s="0"/>
      <c r="N99" s="0"/>
      <c r="O99" s="0"/>
      <c r="P99" s="0"/>
      <c r="Q99" s="0"/>
      <c r="R99" s="0"/>
      <c r="T99" s="0"/>
      <c r="U99" s="0"/>
      <c r="Y99" s="39"/>
      <c r="Z99" s="39"/>
      <c r="AA99" s="39"/>
      <c r="AB99" s="39"/>
      <c r="AC99" s="39"/>
      <c r="AE99" s="0"/>
    </row>
    <row r="100" customFormat="false" ht="15" hidden="false" customHeight="false" outlineLevel="0" collapsed="false">
      <c r="B100" s="38"/>
      <c r="D100" s="7" t="s">
        <v>135</v>
      </c>
      <c r="E100" s="0"/>
      <c r="F100" s="8" t="s">
        <v>44</v>
      </c>
      <c r="G100" s="0"/>
      <c r="H100" s="0"/>
      <c r="I100" s="46" t="str">
        <f aca="false">INDEX(K100:R100,,$F$6)</f>
        <v>amortization</v>
      </c>
      <c r="K100" s="96" t="s">
        <v>136</v>
      </c>
      <c r="L100" s="96" t="s">
        <v>136</v>
      </c>
      <c r="M100" s="96" t="s">
        <v>136</v>
      </c>
      <c r="N100" s="96" t="s">
        <v>136</v>
      </c>
      <c r="O100" s="96" t="s">
        <v>136</v>
      </c>
      <c r="P100" s="96" t="s">
        <v>136</v>
      </c>
      <c r="Q100" s="96" t="s">
        <v>136</v>
      </c>
      <c r="R100" s="96" t="s">
        <v>136</v>
      </c>
      <c r="T100" s="0"/>
      <c r="U100" s="0"/>
      <c r="Y100" s="39"/>
      <c r="Z100" s="39"/>
      <c r="AA100" s="39"/>
      <c r="AB100" s="39"/>
      <c r="AC100" s="39"/>
      <c r="AE100" s="13" t="s">
        <v>137</v>
      </c>
    </row>
    <row r="101" customFormat="false" ht="15" hidden="false" customHeight="false" outlineLevel="0" collapsed="false">
      <c r="B101" s="0"/>
      <c r="D101" s="7" t="s">
        <v>138</v>
      </c>
      <c r="E101" s="0"/>
      <c r="F101" s="8" t="s">
        <v>34</v>
      </c>
      <c r="G101" s="0"/>
      <c r="H101" s="0"/>
      <c r="I101" s="46" t="n">
        <f aca="false">INDEX(K101:R101,,$F$6)</f>
        <v>0.075</v>
      </c>
      <c r="K101" s="47" t="n">
        <v>0.075</v>
      </c>
      <c r="L101" s="47" t="n">
        <v>0.075</v>
      </c>
      <c r="M101" s="47" t="n">
        <v>0.075</v>
      </c>
      <c r="N101" s="47" t="n">
        <v>0.075</v>
      </c>
      <c r="O101" s="47" t="n">
        <v>0.075</v>
      </c>
      <c r="P101" s="47" t="n">
        <v>0.075</v>
      </c>
      <c r="Q101" s="47" t="n">
        <v>0.075</v>
      </c>
      <c r="R101" s="47" t="n">
        <v>0.075</v>
      </c>
      <c r="T101" s="0"/>
      <c r="U101" s="0"/>
      <c r="Y101" s="39"/>
      <c r="Z101" s="39"/>
      <c r="AA101" s="39"/>
      <c r="AB101" s="39"/>
      <c r="AC101" s="39"/>
      <c r="AE101" s="13" t="s">
        <v>139</v>
      </c>
    </row>
    <row r="102" customFormat="false" ht="15" hidden="false" customHeight="false" outlineLevel="0" collapsed="false">
      <c r="B102" s="0"/>
      <c r="D102" s="7" t="s">
        <v>140</v>
      </c>
      <c r="E102" s="0"/>
      <c r="F102" s="8" t="s">
        <v>34</v>
      </c>
      <c r="G102" s="0"/>
      <c r="H102" s="0"/>
      <c r="I102" s="51" t="n">
        <v>0.693</v>
      </c>
      <c r="K102" s="0"/>
      <c r="L102" s="0"/>
      <c r="M102" s="0"/>
      <c r="N102" s="0"/>
      <c r="O102" s="0"/>
      <c r="P102" s="0"/>
      <c r="Q102" s="0"/>
      <c r="R102" s="0"/>
      <c r="T102" s="0"/>
      <c r="U102" s="0"/>
      <c r="Y102" s="39"/>
      <c r="Z102" s="39"/>
      <c r="AA102" s="39"/>
      <c r="AB102" s="39"/>
      <c r="AC102" s="39"/>
      <c r="AE102" s="13" t="s">
        <v>136</v>
      </c>
    </row>
    <row r="103" customFormat="false" ht="15" hidden="false" customHeight="false" outlineLevel="0" collapsed="false">
      <c r="B103" s="0"/>
      <c r="D103" s="7" t="s">
        <v>141</v>
      </c>
      <c r="E103" s="0"/>
      <c r="F103" s="8" t="s">
        <v>34</v>
      </c>
      <c r="G103" s="0"/>
      <c r="H103" s="0"/>
      <c r="I103" s="50" t="n">
        <f aca="false">INDEX(K103:R103,,$F$6)</f>
        <v>0.7</v>
      </c>
      <c r="K103" s="51" t="n">
        <v>0.7</v>
      </c>
      <c r="L103" s="51" t="n">
        <v>0.7</v>
      </c>
      <c r="M103" s="51" t="n">
        <v>0.7</v>
      </c>
      <c r="N103" s="51" t="n">
        <v>0.7</v>
      </c>
      <c r="O103" s="51" t="n">
        <v>0.7</v>
      </c>
      <c r="P103" s="51" t="n">
        <v>0.7</v>
      </c>
      <c r="Q103" s="51" t="n">
        <v>0.7</v>
      </c>
      <c r="R103" s="51" t="n">
        <v>0.7</v>
      </c>
      <c r="T103" s="95" t="e">
        <f aca="false">Target_Leverage-Actual_Leverage</f>
        <v>#NAME?</v>
      </c>
      <c r="U103" s="0"/>
      <c r="Y103" s="39"/>
      <c r="Z103" s="39"/>
      <c r="AA103" s="39"/>
      <c r="AB103" s="39"/>
      <c r="AC103" s="39"/>
      <c r="AE103" s="0"/>
    </row>
    <row r="104" customFormat="false" ht="15" hidden="false" customHeight="false" outlineLevel="0" collapsed="false">
      <c r="B104" s="0"/>
      <c r="D104" s="7" t="s">
        <v>142</v>
      </c>
      <c r="E104" s="0"/>
      <c r="F104" s="8" t="s">
        <v>110</v>
      </c>
      <c r="G104" s="0"/>
      <c r="H104" s="0"/>
      <c r="I104" s="40" t="n">
        <f aca="false">INDEX(K104:R104,,$F$6)</f>
        <v>12</v>
      </c>
      <c r="K104" s="41" t="n">
        <v>12</v>
      </c>
      <c r="L104" s="41" t="n">
        <v>12</v>
      </c>
      <c r="M104" s="41" t="n">
        <v>12</v>
      </c>
      <c r="N104" s="41" t="n">
        <v>12</v>
      </c>
      <c r="O104" s="41" t="n">
        <v>12</v>
      </c>
      <c r="P104" s="41" t="n">
        <v>12</v>
      </c>
      <c r="Q104" s="41" t="n">
        <v>12</v>
      </c>
      <c r="R104" s="41" t="n">
        <v>12</v>
      </c>
      <c r="T104" s="0"/>
      <c r="U104" s="0"/>
      <c r="Y104" s="39"/>
      <c r="Z104" s="39"/>
      <c r="AA104" s="39"/>
      <c r="AB104" s="39"/>
      <c r="AC104" s="39"/>
      <c r="AE104" s="0"/>
    </row>
    <row r="105" customFormat="false" ht="15" hidden="false" customHeight="false" outlineLevel="0" collapsed="false">
      <c r="B105" s="0"/>
      <c r="D105" s="7" t="s">
        <v>143</v>
      </c>
      <c r="E105" s="0"/>
      <c r="F105" s="8" t="s">
        <v>103</v>
      </c>
      <c r="G105" s="0"/>
      <c r="H105" s="0"/>
      <c r="I105" s="40" t="n">
        <f aca="false">INDEX(K105:R105,,$F$6)</f>
        <v>6</v>
      </c>
      <c r="K105" s="41" t="n">
        <v>6</v>
      </c>
      <c r="L105" s="41" t="n">
        <v>6</v>
      </c>
      <c r="M105" s="41" t="n">
        <v>6</v>
      </c>
      <c r="N105" s="41" t="n">
        <v>6</v>
      </c>
      <c r="O105" s="41" t="n">
        <v>6</v>
      </c>
      <c r="P105" s="41" t="n">
        <v>6</v>
      </c>
      <c r="Q105" s="41" t="n">
        <v>6</v>
      </c>
      <c r="R105" s="41" t="n">
        <v>6</v>
      </c>
      <c r="T105" s="0"/>
      <c r="U105" s="0"/>
      <c r="Y105" s="39"/>
      <c r="Z105" s="39"/>
      <c r="AA105" s="39"/>
      <c r="AB105" s="39"/>
      <c r="AC105" s="39"/>
      <c r="AE105" s="0"/>
    </row>
    <row r="106" customFormat="false" ht="15" hidden="false" customHeight="false" outlineLevel="0" collapsed="false">
      <c r="B106" s="0"/>
      <c r="D106" s="7" t="s">
        <v>144</v>
      </c>
      <c r="E106" s="0"/>
      <c r="F106" s="8" t="s">
        <v>145</v>
      </c>
      <c r="G106" s="0"/>
      <c r="H106" s="0"/>
      <c r="I106" s="40" t="n">
        <f aca="false">INDEX(K106:R106,,$F$6)</f>
        <v>1</v>
      </c>
      <c r="K106" s="41" t="n">
        <v>1</v>
      </c>
      <c r="L106" s="41" t="n">
        <v>1</v>
      </c>
      <c r="M106" s="41" t="n">
        <v>1</v>
      </c>
      <c r="N106" s="41" t="n">
        <v>1</v>
      </c>
      <c r="O106" s="41" t="n">
        <v>1</v>
      </c>
      <c r="P106" s="41" t="n">
        <v>1</v>
      </c>
      <c r="Q106" s="41" t="n">
        <v>1</v>
      </c>
      <c r="R106" s="41" t="n">
        <v>1</v>
      </c>
      <c r="T106" s="0"/>
      <c r="U106" s="0"/>
      <c r="Y106" s="39"/>
      <c r="Z106" s="39"/>
      <c r="AA106" s="39"/>
      <c r="AB106" s="39"/>
      <c r="AC106" s="39"/>
      <c r="AE106" s="0"/>
    </row>
    <row r="107" customFormat="false" ht="15" hidden="false" customHeight="false" outlineLevel="0" collapsed="false">
      <c r="B107" s="0"/>
      <c r="D107" s="7" t="s">
        <v>146</v>
      </c>
      <c r="E107" s="0"/>
      <c r="F107" s="8" t="s">
        <v>88</v>
      </c>
      <c r="G107" s="0"/>
      <c r="H107" s="0"/>
      <c r="I107" s="40" t="str">
        <f aca="false">INDEX(K107:R107,,$F$6)</f>
        <v>no</v>
      </c>
      <c r="K107" s="52" t="s">
        <v>89</v>
      </c>
      <c r="L107" s="52" t="s">
        <v>89</v>
      </c>
      <c r="M107" s="52" t="s">
        <v>89</v>
      </c>
      <c r="N107" s="52" t="s">
        <v>89</v>
      </c>
      <c r="O107" s="52" t="s">
        <v>89</v>
      </c>
      <c r="P107" s="52" t="s">
        <v>89</v>
      </c>
      <c r="Q107" s="52" t="s">
        <v>89</v>
      </c>
      <c r="R107" s="52" t="s">
        <v>89</v>
      </c>
      <c r="T107" s="0"/>
      <c r="U107" s="0"/>
      <c r="Y107" s="39"/>
      <c r="Z107" s="39"/>
      <c r="AA107" s="39"/>
      <c r="AB107" s="39"/>
      <c r="AC107" s="39"/>
      <c r="AE107" s="0"/>
    </row>
    <row r="108" customFormat="false" ht="15" hidden="false" customHeight="false" outlineLevel="0" collapsed="false">
      <c r="B108" s="0"/>
      <c r="D108" s="0"/>
      <c r="E108" s="0"/>
      <c r="F108" s="0"/>
      <c r="G108" s="0"/>
      <c r="H108" s="0"/>
      <c r="I108" s="0"/>
      <c r="K108" s="0"/>
      <c r="L108" s="0"/>
      <c r="M108" s="0"/>
      <c r="N108" s="0"/>
      <c r="O108" s="0"/>
      <c r="P108" s="0"/>
      <c r="Q108" s="0"/>
      <c r="R108" s="0"/>
      <c r="T108" s="0"/>
      <c r="U108" s="0"/>
      <c r="Y108" s="39"/>
      <c r="Z108" s="39"/>
      <c r="AA108" s="39"/>
      <c r="AB108" s="39"/>
      <c r="AC108" s="39"/>
      <c r="AE108" s="13" t="s">
        <v>126</v>
      </c>
    </row>
    <row r="109" customFormat="false" ht="15" hidden="false" customHeight="false" outlineLevel="0" collapsed="false">
      <c r="B109" s="38" t="n">
        <f aca="false">(MAX($A$7:B108)+0.1)</f>
        <v>2.4</v>
      </c>
      <c r="D109" s="38" t="s">
        <v>97</v>
      </c>
      <c r="E109" s="0"/>
      <c r="F109" s="0"/>
      <c r="G109" s="0"/>
      <c r="H109" s="0"/>
      <c r="I109" s="0"/>
      <c r="K109" s="0"/>
      <c r="L109" s="0"/>
      <c r="M109" s="0"/>
      <c r="N109" s="0"/>
      <c r="O109" s="0"/>
      <c r="P109" s="0"/>
      <c r="Q109" s="0"/>
      <c r="R109" s="0"/>
      <c r="T109" s="0"/>
      <c r="U109" s="0"/>
      <c r="Y109" s="39"/>
      <c r="Z109" s="39"/>
      <c r="AA109" s="39"/>
      <c r="AB109" s="39"/>
      <c r="AC109" s="39"/>
      <c r="AE109" s="13" t="s">
        <v>89</v>
      </c>
    </row>
    <row r="110" customFormat="false" ht="15" hidden="false" customHeight="false" outlineLevel="0" collapsed="false">
      <c r="B110" s="38"/>
      <c r="D110" s="7" t="s">
        <v>147</v>
      </c>
      <c r="E110" s="0"/>
      <c r="F110" s="8" t="s">
        <v>34</v>
      </c>
      <c r="G110" s="0"/>
      <c r="H110" s="0"/>
      <c r="I110" s="50" t="n">
        <f aca="false">INDEX(K110:R110,,$F$6)</f>
        <v>0.02125</v>
      </c>
      <c r="K110" s="51" t="n">
        <v>0.02125</v>
      </c>
      <c r="L110" s="51" t="n">
        <v>0.02125</v>
      </c>
      <c r="M110" s="51" t="n">
        <v>0.02125</v>
      </c>
      <c r="N110" s="51" t="n">
        <v>0.02125</v>
      </c>
      <c r="O110" s="51" t="n">
        <v>0.02125</v>
      </c>
      <c r="P110" s="51" t="n">
        <v>0.02125</v>
      </c>
      <c r="Q110" s="51" t="n">
        <v>0.02125</v>
      </c>
      <c r="R110" s="51" t="n">
        <v>0.02125</v>
      </c>
      <c r="T110" s="97" t="n">
        <f aca="false">I110*SUM(Funding!G60:G64,Funding!G66)/(1-0.07)</f>
        <v>417689.43187538</v>
      </c>
      <c r="U110" s="0"/>
      <c r="Y110" s="39"/>
      <c r="Z110" s="39"/>
      <c r="AA110" s="39"/>
      <c r="AB110" s="39"/>
      <c r="AC110" s="39"/>
      <c r="AE110" s="0"/>
    </row>
    <row r="111" customFormat="false" ht="15" hidden="false" customHeight="false" outlineLevel="0" collapsed="false">
      <c r="B111" s="0"/>
      <c r="D111" s="7" t="s">
        <v>148</v>
      </c>
      <c r="E111" s="0"/>
      <c r="F111" s="8" t="s">
        <v>72</v>
      </c>
      <c r="G111" s="0"/>
      <c r="H111" s="0"/>
      <c r="I111" s="85" t="n">
        <f aca="false">INDEX(K111:R111,,$F$6)*1000</f>
        <v>300000</v>
      </c>
      <c r="K111" s="76" t="n">
        <v>300</v>
      </c>
      <c r="L111" s="76" t="n">
        <v>300</v>
      </c>
      <c r="M111" s="76" t="n">
        <v>300</v>
      </c>
      <c r="N111" s="76" t="n">
        <v>300</v>
      </c>
      <c r="O111" s="76" t="n">
        <v>300</v>
      </c>
      <c r="P111" s="76" t="n">
        <v>300</v>
      </c>
      <c r="Q111" s="76" t="n">
        <v>300</v>
      </c>
      <c r="R111" s="76" t="n">
        <v>300</v>
      </c>
      <c r="T111" s="0"/>
      <c r="U111" s="0"/>
      <c r="Y111" s="39"/>
      <c r="Z111" s="39"/>
      <c r="AA111" s="39"/>
      <c r="AB111" s="39"/>
      <c r="AC111" s="39"/>
      <c r="AE111" s="0"/>
    </row>
    <row r="112" customFormat="false" ht="15" hidden="false" customHeight="false" outlineLevel="0" collapsed="false">
      <c r="B112" s="0"/>
      <c r="D112" s="7" t="s">
        <v>149</v>
      </c>
      <c r="E112" s="0"/>
      <c r="F112" s="8" t="s">
        <v>72</v>
      </c>
      <c r="G112" s="0"/>
      <c r="H112" s="0"/>
      <c r="I112" s="85" t="n">
        <f aca="false">INDEX(K112:R112,,$F$6)*1000</f>
        <v>0</v>
      </c>
      <c r="K112" s="76"/>
      <c r="L112" s="76"/>
      <c r="M112" s="76"/>
      <c r="N112" s="76"/>
      <c r="O112" s="76"/>
      <c r="P112" s="76"/>
      <c r="Q112" s="76"/>
      <c r="R112" s="76"/>
      <c r="T112" s="0"/>
      <c r="U112" s="0"/>
      <c r="Y112" s="39"/>
      <c r="Z112" s="39"/>
      <c r="AA112" s="39"/>
      <c r="AB112" s="39"/>
      <c r="AC112" s="39"/>
      <c r="AE112" s="0"/>
    </row>
    <row r="113" customFormat="false" ht="15" hidden="false" customHeight="false" outlineLevel="0" collapsed="false">
      <c r="B113" s="0"/>
      <c r="D113" s="7" t="s">
        <v>150</v>
      </c>
      <c r="E113" s="0"/>
      <c r="F113" s="8" t="s">
        <v>72</v>
      </c>
      <c r="G113" s="0"/>
      <c r="H113" s="0"/>
      <c r="I113" s="85" t="n">
        <f aca="false">INDEX(K113:R113,,$F$6)*1000</f>
        <v>200000</v>
      </c>
      <c r="K113" s="76" t="n">
        <v>200</v>
      </c>
      <c r="L113" s="76" t="n">
        <v>200</v>
      </c>
      <c r="M113" s="76" t="n">
        <v>200</v>
      </c>
      <c r="N113" s="76" t="n">
        <v>200</v>
      </c>
      <c r="O113" s="76" t="n">
        <v>200</v>
      </c>
      <c r="P113" s="76" t="n">
        <v>200</v>
      </c>
      <c r="Q113" s="76" t="n">
        <v>200</v>
      </c>
      <c r="R113" s="76" t="n">
        <v>200</v>
      </c>
      <c r="T113" s="0"/>
      <c r="U113" s="0"/>
      <c r="Y113" s="39"/>
      <c r="Z113" s="39"/>
      <c r="AA113" s="39"/>
      <c r="AB113" s="39"/>
      <c r="AC113" s="39"/>
      <c r="AE113" s="0"/>
    </row>
    <row r="114" customFormat="false" ht="15" hidden="false" customHeight="false" outlineLevel="0" collapsed="false">
      <c r="B114" s="0"/>
      <c r="D114" s="7" t="s">
        <v>151</v>
      </c>
      <c r="E114" s="0"/>
      <c r="F114" s="8" t="s">
        <v>72</v>
      </c>
      <c r="G114" s="0"/>
      <c r="H114" s="0"/>
      <c r="I114" s="85" t="n">
        <f aca="false">INDEX(K114:R114,,$F$6)*1000</f>
        <v>0</v>
      </c>
      <c r="K114" s="76"/>
      <c r="L114" s="76"/>
      <c r="M114" s="76"/>
      <c r="N114" s="76"/>
      <c r="O114" s="76"/>
      <c r="P114" s="76"/>
      <c r="Q114" s="76"/>
      <c r="R114" s="76"/>
      <c r="T114" s="0"/>
      <c r="U114" s="0"/>
      <c r="Y114" s="39"/>
      <c r="Z114" s="39"/>
      <c r="AA114" s="39"/>
      <c r="AB114" s="39"/>
      <c r="AC114" s="39"/>
      <c r="AE114" s="0"/>
    </row>
    <row r="115" customFormat="false" ht="15" hidden="false" customHeight="false" outlineLevel="0" collapsed="false">
      <c r="B115" s="0"/>
      <c r="D115" s="7" t="s">
        <v>152</v>
      </c>
      <c r="E115" s="0"/>
      <c r="F115" s="8" t="s">
        <v>72</v>
      </c>
      <c r="G115" s="0"/>
      <c r="H115" s="0"/>
      <c r="I115" s="0"/>
      <c r="K115" s="0"/>
      <c r="L115" s="0"/>
      <c r="M115" s="0"/>
      <c r="N115" s="0"/>
      <c r="O115" s="0"/>
      <c r="P115" s="0"/>
      <c r="Q115" s="0"/>
      <c r="R115" s="0"/>
      <c r="T115" s="97" t="n">
        <f aca="false">SUM(T110,I111:I114)</f>
        <v>917689.43187538</v>
      </c>
      <c r="U115" s="0"/>
      <c r="Y115" s="39"/>
      <c r="Z115" s="39"/>
      <c r="AA115" s="39"/>
      <c r="AB115" s="39"/>
      <c r="AC115" s="39"/>
      <c r="AE115" s="0"/>
    </row>
    <row r="116" customFormat="false" ht="15" hidden="false" customHeight="false" outlineLevel="0" collapsed="false">
      <c r="B116" s="0"/>
      <c r="D116" s="0"/>
      <c r="E116" s="0"/>
      <c r="F116" s="0"/>
      <c r="G116" s="0"/>
      <c r="H116" s="0"/>
      <c r="I116" s="0"/>
      <c r="K116" s="0"/>
      <c r="L116" s="0"/>
      <c r="M116" s="0"/>
      <c r="N116" s="0"/>
      <c r="O116" s="0"/>
      <c r="P116" s="0"/>
      <c r="Q116" s="0"/>
      <c r="R116" s="0"/>
      <c r="T116" s="0"/>
      <c r="U116" s="0"/>
      <c r="Y116" s="39"/>
      <c r="Z116" s="39"/>
      <c r="AA116" s="39"/>
      <c r="AB116" s="39"/>
      <c r="AC116" s="39"/>
      <c r="AE116" s="0"/>
    </row>
    <row r="117" customFormat="false" ht="15" hidden="false" customHeight="false" outlineLevel="0" collapsed="false">
      <c r="B117" s="38" t="n">
        <f aca="false">(MAX($A$7:B116)+0.1)</f>
        <v>2.5</v>
      </c>
      <c r="D117" s="38" t="s">
        <v>153</v>
      </c>
      <c r="E117" s="0"/>
      <c r="F117" s="0"/>
      <c r="G117" s="0"/>
      <c r="H117" s="0"/>
      <c r="I117" s="0"/>
      <c r="K117" s="0"/>
      <c r="L117" s="0"/>
      <c r="M117" s="0"/>
      <c r="N117" s="0"/>
      <c r="O117" s="0"/>
      <c r="P117" s="0"/>
      <c r="Q117" s="0"/>
      <c r="R117" s="0"/>
      <c r="T117" s="0"/>
      <c r="U117" s="0"/>
      <c r="Y117" s="39"/>
      <c r="Z117" s="39"/>
      <c r="AA117" s="39"/>
      <c r="AB117" s="39"/>
      <c r="AC117" s="39"/>
      <c r="AE117" s="0"/>
    </row>
    <row r="118" customFormat="false" ht="15" hidden="false" customHeight="false" outlineLevel="0" collapsed="false">
      <c r="B118" s="38"/>
      <c r="D118" s="61" t="s">
        <v>154</v>
      </c>
      <c r="E118" s="0"/>
      <c r="F118" s="8" t="s">
        <v>88</v>
      </c>
      <c r="G118" s="0"/>
      <c r="H118" s="0"/>
      <c r="I118" s="40" t="str">
        <f aca="false">INDEX(K118:R118,,$F$6)</f>
        <v>yes</v>
      </c>
      <c r="K118" s="52" t="s">
        <v>126</v>
      </c>
      <c r="L118" s="52" t="s">
        <v>126</v>
      </c>
      <c r="M118" s="52" t="s">
        <v>126</v>
      </c>
      <c r="N118" s="52" t="s">
        <v>126</v>
      </c>
      <c r="O118" s="52" t="s">
        <v>126</v>
      </c>
      <c r="P118" s="52" t="s">
        <v>126</v>
      </c>
      <c r="Q118" s="52" t="s">
        <v>126</v>
      </c>
      <c r="R118" s="52" t="s">
        <v>126</v>
      </c>
      <c r="T118" s="0"/>
      <c r="U118" s="0"/>
      <c r="Y118" s="39"/>
      <c r="Z118" s="39"/>
      <c r="AA118" s="39"/>
      <c r="AB118" s="39"/>
      <c r="AC118" s="39"/>
      <c r="AE118" s="0"/>
    </row>
    <row r="119" customFormat="false" ht="15" hidden="false" customHeight="false" outlineLevel="0" collapsed="false">
      <c r="B119" s="0"/>
      <c r="D119" s="7" t="s">
        <v>155</v>
      </c>
      <c r="E119" s="0"/>
      <c r="F119" s="8" t="s">
        <v>34</v>
      </c>
      <c r="G119" s="0"/>
      <c r="H119" s="0"/>
      <c r="I119" s="46" t="n">
        <f aca="false">INDEX(K119:R119,,$F$6)</f>
        <v>0.018</v>
      </c>
      <c r="K119" s="47" t="n">
        <v>0.018</v>
      </c>
      <c r="L119" s="47" t="n">
        <v>0.018</v>
      </c>
      <c r="M119" s="47" t="n">
        <v>0.018</v>
      </c>
      <c r="N119" s="47" t="n">
        <v>0.018</v>
      </c>
      <c r="O119" s="47" t="n">
        <v>0.018</v>
      </c>
      <c r="P119" s="47" t="n">
        <v>0.018</v>
      </c>
      <c r="Q119" s="47" t="n">
        <v>0.018</v>
      </c>
      <c r="R119" s="47" t="n">
        <v>0.018</v>
      </c>
      <c r="T119" s="0"/>
      <c r="U119" s="0"/>
      <c r="Y119" s="39"/>
      <c r="Z119" s="39"/>
      <c r="AA119" s="39"/>
      <c r="AB119" s="39"/>
      <c r="AC119" s="39"/>
      <c r="AE119" s="0"/>
    </row>
    <row r="120" customFormat="false" ht="15" hidden="false" customHeight="false" outlineLevel="0" collapsed="false">
      <c r="B120" s="0"/>
      <c r="D120" s="7" t="s">
        <v>156</v>
      </c>
      <c r="E120" s="0"/>
      <c r="F120" s="8" t="s">
        <v>34</v>
      </c>
      <c r="G120" s="0"/>
      <c r="H120" s="0"/>
      <c r="I120" s="46" t="n">
        <f aca="false">INDEX(K120:R120,,$F$6)</f>
        <v>0.9</v>
      </c>
      <c r="K120" s="47" t="n">
        <v>0.9</v>
      </c>
      <c r="L120" s="47" t="n">
        <v>0.9</v>
      </c>
      <c r="M120" s="47" t="n">
        <v>0.9</v>
      </c>
      <c r="N120" s="47" t="n">
        <v>0.9</v>
      </c>
      <c r="O120" s="47" t="n">
        <v>0.9</v>
      </c>
      <c r="P120" s="47" t="n">
        <v>0.9</v>
      </c>
      <c r="Q120" s="47" t="n">
        <v>0.9</v>
      </c>
      <c r="R120" s="47" t="n">
        <v>0.9</v>
      </c>
      <c r="T120" s="0"/>
      <c r="U120" s="0"/>
      <c r="Y120" s="39"/>
      <c r="Z120" s="39"/>
      <c r="AA120" s="39"/>
      <c r="AB120" s="39"/>
      <c r="AC120" s="39"/>
      <c r="AE120" s="13" t="s">
        <v>157</v>
      </c>
    </row>
    <row r="121" customFormat="false" ht="15" hidden="false" customHeight="false" outlineLevel="0" collapsed="false">
      <c r="B121" s="0"/>
      <c r="D121" s="7" t="s">
        <v>158</v>
      </c>
      <c r="E121" s="0"/>
      <c r="F121" s="8" t="s">
        <v>44</v>
      </c>
      <c r="G121" s="0"/>
      <c r="H121" s="0"/>
      <c r="I121" s="46" t="str">
        <f aca="false">INDEX(K121:R121,,$F$6)</f>
        <v>equity only</v>
      </c>
      <c r="K121" s="96" t="s">
        <v>159</v>
      </c>
      <c r="L121" s="96" t="s">
        <v>159</v>
      </c>
      <c r="M121" s="96" t="s">
        <v>159</v>
      </c>
      <c r="N121" s="96" t="s">
        <v>159</v>
      </c>
      <c r="O121" s="96" t="s">
        <v>159</v>
      </c>
      <c r="P121" s="96" t="s">
        <v>159</v>
      </c>
      <c r="Q121" s="96" t="s">
        <v>159</v>
      </c>
      <c r="R121" s="96" t="s">
        <v>159</v>
      </c>
      <c r="T121" s="0"/>
      <c r="U121" s="0"/>
      <c r="Y121" s="39"/>
      <c r="Z121" s="39"/>
      <c r="AA121" s="39"/>
      <c r="AB121" s="39"/>
      <c r="AC121" s="39"/>
      <c r="AE121" s="13" t="s">
        <v>160</v>
      </c>
    </row>
    <row r="122" customFormat="false" ht="15" hidden="false" customHeight="false" outlineLevel="0" collapsed="false">
      <c r="B122" s="0"/>
      <c r="D122" s="7" t="s">
        <v>161</v>
      </c>
      <c r="E122" s="0"/>
      <c r="F122" s="8" t="s">
        <v>34</v>
      </c>
      <c r="G122" s="0"/>
      <c r="H122" s="0"/>
      <c r="I122" s="46" t="n">
        <f aca="false">INDEX(K122:R122,,$F$6)</f>
        <v>0.3333</v>
      </c>
      <c r="K122" s="47" t="n">
        <v>0.3333</v>
      </c>
      <c r="L122" s="47" t="n">
        <v>0.3333</v>
      </c>
      <c r="M122" s="47" t="n">
        <v>0.3333</v>
      </c>
      <c r="N122" s="47" t="n">
        <v>0.3333</v>
      </c>
      <c r="O122" s="47" t="n">
        <v>0.3333</v>
      </c>
      <c r="P122" s="47" t="n">
        <v>0.3333</v>
      </c>
      <c r="Q122" s="47" t="n">
        <v>0.3333</v>
      </c>
      <c r="R122" s="47" t="n">
        <v>0.3333</v>
      </c>
      <c r="T122" s="0"/>
      <c r="U122" s="0"/>
      <c r="Y122" s="39"/>
      <c r="Z122" s="39"/>
      <c r="AA122" s="39"/>
      <c r="AB122" s="39"/>
      <c r="AC122" s="39"/>
      <c r="AE122" s="13" t="s">
        <v>159</v>
      </c>
    </row>
    <row r="123" customFormat="false" ht="15" hidden="false" customHeight="false" outlineLevel="0" collapsed="false">
      <c r="B123" s="0"/>
      <c r="D123" s="7" t="s">
        <v>162</v>
      </c>
      <c r="E123" s="0"/>
      <c r="F123" s="8" t="s">
        <v>34</v>
      </c>
      <c r="G123" s="0"/>
      <c r="H123" s="0"/>
      <c r="I123" s="0"/>
      <c r="K123" s="0"/>
      <c r="L123" s="0"/>
      <c r="M123" s="0"/>
      <c r="N123" s="0"/>
      <c r="O123" s="0"/>
      <c r="P123" s="0"/>
      <c r="Q123" s="0"/>
      <c r="R123" s="0"/>
      <c r="T123" s="98" t="n">
        <f aca="false">I122*I119</f>
        <v>0.0059994</v>
      </c>
      <c r="U123" s="0"/>
      <c r="Y123" s="39"/>
      <c r="Z123" s="39"/>
      <c r="AA123" s="39"/>
      <c r="AB123" s="39"/>
      <c r="AC123" s="39"/>
      <c r="AE123" s="0"/>
    </row>
    <row r="124" customFormat="false" ht="15" hidden="false" customHeight="false" outlineLevel="0" collapsed="false">
      <c r="B124" s="0"/>
      <c r="D124" s="0"/>
      <c r="E124" s="0"/>
      <c r="F124" s="0"/>
      <c r="G124" s="0"/>
      <c r="H124" s="0"/>
      <c r="I124" s="0"/>
      <c r="K124" s="0"/>
      <c r="L124" s="0"/>
      <c r="M124" s="0"/>
      <c r="N124" s="0"/>
      <c r="O124" s="0"/>
      <c r="P124" s="0"/>
      <c r="Q124" s="0"/>
      <c r="R124" s="0"/>
      <c r="T124" s="0"/>
      <c r="U124" s="0"/>
      <c r="Y124" s="39"/>
      <c r="Z124" s="39"/>
      <c r="AA124" s="39"/>
      <c r="AB124" s="39"/>
      <c r="AC124" s="39"/>
      <c r="AE124" s="0"/>
    </row>
    <row r="125" customFormat="false" ht="15" hidden="false" customHeight="false" outlineLevel="0" collapsed="false">
      <c r="B125" s="0"/>
      <c r="D125" s="7" t="s">
        <v>163</v>
      </c>
      <c r="E125" s="0"/>
      <c r="F125" s="8" t="s">
        <v>34</v>
      </c>
      <c r="G125" s="0"/>
      <c r="H125" s="0"/>
      <c r="I125" s="46" t="n">
        <f aca="false">INDEX(K125:R125,,$F$6)</f>
        <v>0.002</v>
      </c>
      <c r="K125" s="47" t="n">
        <v>0.002</v>
      </c>
      <c r="L125" s="47" t="n">
        <v>0.002</v>
      </c>
      <c r="M125" s="47" t="n">
        <v>0.002</v>
      </c>
      <c r="N125" s="47" t="n">
        <v>0.002</v>
      </c>
      <c r="O125" s="47" t="n">
        <v>0.002</v>
      </c>
      <c r="P125" s="47" t="n">
        <v>0.002</v>
      </c>
      <c r="Q125" s="47" t="n">
        <v>0.002</v>
      </c>
      <c r="R125" s="47" t="n">
        <v>0.002</v>
      </c>
      <c r="T125" s="0"/>
      <c r="U125" s="0"/>
      <c r="Y125" s="39"/>
      <c r="Z125" s="39"/>
      <c r="AA125" s="39"/>
      <c r="AB125" s="39"/>
      <c r="AC125" s="39"/>
      <c r="AE125" s="0"/>
    </row>
    <row r="126" customFormat="false" ht="15" hidden="false" customHeight="false" outlineLevel="0" collapsed="false">
      <c r="B126" s="0"/>
      <c r="D126" s="0"/>
      <c r="E126" s="0"/>
      <c r="F126" s="0"/>
      <c r="G126" s="0"/>
      <c r="H126" s="0"/>
      <c r="I126" s="0"/>
      <c r="K126" s="0"/>
      <c r="L126" s="0"/>
      <c r="M126" s="0"/>
      <c r="N126" s="0"/>
      <c r="O126" s="0"/>
      <c r="P126" s="0"/>
      <c r="Q126" s="0"/>
      <c r="R126" s="0"/>
      <c r="T126" s="0"/>
      <c r="U126" s="0"/>
      <c r="Y126" s="39"/>
      <c r="Z126" s="39"/>
      <c r="AA126" s="39"/>
      <c r="AB126" s="39"/>
      <c r="AC126" s="39"/>
      <c r="AE126" s="0"/>
    </row>
    <row r="127" customFormat="false" ht="15" hidden="false" customHeight="false" outlineLevel="0" collapsed="false">
      <c r="B127" s="38" t="n">
        <f aca="false">(MAX($A$7:B126)+0.1)</f>
        <v>2.6</v>
      </c>
      <c r="D127" s="38" t="s">
        <v>164</v>
      </c>
      <c r="E127" s="0"/>
      <c r="F127" s="0"/>
      <c r="G127" s="0"/>
      <c r="H127" s="0"/>
      <c r="I127" s="0"/>
      <c r="K127" s="0"/>
      <c r="L127" s="0"/>
      <c r="M127" s="0"/>
      <c r="N127" s="0"/>
      <c r="O127" s="0"/>
      <c r="P127" s="0"/>
      <c r="Q127" s="0"/>
      <c r="R127" s="0"/>
      <c r="T127" s="0"/>
      <c r="U127" s="0"/>
      <c r="Y127" s="39"/>
      <c r="Z127" s="39"/>
      <c r="AA127" s="39"/>
      <c r="AB127" s="39"/>
      <c r="AC127" s="39"/>
      <c r="AE127" s="0"/>
    </row>
    <row r="128" customFormat="false" ht="15" hidden="false" customHeight="false" outlineLevel="0" collapsed="false">
      <c r="B128" s="0"/>
      <c r="D128" s="7" t="s">
        <v>165</v>
      </c>
      <c r="E128" s="0"/>
      <c r="F128" s="8" t="s">
        <v>34</v>
      </c>
      <c r="G128" s="0"/>
      <c r="H128" s="0"/>
      <c r="I128" s="50" t="n">
        <f aca="false">1-Minority_pct_excl_bridge-Bridge_Equity_share</f>
        <v>0.75</v>
      </c>
      <c r="K128" s="0"/>
      <c r="L128" s="0"/>
      <c r="M128" s="0"/>
      <c r="N128" s="0"/>
      <c r="O128" s="0"/>
      <c r="P128" s="0"/>
      <c r="Q128" s="0"/>
      <c r="R128" s="0"/>
      <c r="T128" s="99"/>
      <c r="U128" s="0"/>
      <c r="Y128" s="39"/>
      <c r="Z128" s="39"/>
      <c r="AA128" s="39"/>
      <c r="AB128" s="39"/>
      <c r="AC128" s="39"/>
      <c r="AE128" s="0"/>
    </row>
    <row r="129" customFormat="false" ht="15" hidden="false" customHeight="false" outlineLevel="0" collapsed="false">
      <c r="B129" s="0"/>
      <c r="D129" s="7" t="s">
        <v>166</v>
      </c>
      <c r="E129" s="0"/>
      <c r="F129" s="8" t="s">
        <v>34</v>
      </c>
      <c r="G129" s="0"/>
      <c r="H129" s="0"/>
      <c r="I129" s="50" t="n">
        <f aca="false">Minority_pct_excl_bridge+Bridge_Equity_share</f>
        <v>0.25</v>
      </c>
      <c r="K129" s="0"/>
      <c r="L129" s="0"/>
      <c r="M129" s="0"/>
      <c r="N129" s="0"/>
      <c r="O129" s="0"/>
      <c r="P129" s="0"/>
      <c r="Q129" s="0"/>
      <c r="R129" s="0"/>
      <c r="T129" s="7"/>
      <c r="U129" s="0"/>
      <c r="Y129" s="39"/>
      <c r="Z129" s="39"/>
      <c r="AA129" s="39"/>
      <c r="AB129" s="39"/>
      <c r="AC129" s="39"/>
      <c r="AE129" s="0"/>
    </row>
    <row r="130" customFormat="false" ht="15" hidden="false" customHeight="false" outlineLevel="0" collapsed="false">
      <c r="B130" s="0"/>
      <c r="D130" s="7" t="s">
        <v>167</v>
      </c>
      <c r="E130" s="0"/>
      <c r="F130" s="8" t="s">
        <v>34</v>
      </c>
      <c r="G130" s="0"/>
      <c r="H130" s="0"/>
      <c r="I130" s="50" t="n">
        <f aca="false">INDEX(K130:R130,,$F$6)</f>
        <v>0.25</v>
      </c>
      <c r="K130" s="51" t="n">
        <v>0.25</v>
      </c>
      <c r="L130" s="51" t="n">
        <v>0.25</v>
      </c>
      <c r="M130" s="51" t="n">
        <v>0.25</v>
      </c>
      <c r="N130" s="51" t="n">
        <v>0.25</v>
      </c>
      <c r="O130" s="51" t="n">
        <v>0.25</v>
      </c>
      <c r="P130" s="51" t="n">
        <v>0.25</v>
      </c>
      <c r="Q130" s="51" t="n">
        <v>0.25</v>
      </c>
      <c r="R130" s="51" t="n">
        <v>0.25</v>
      </c>
      <c r="T130" s="97" t="e">
        <f aca="false">Minority_pct_excl_bridge*(Total_Capital_Required-Bank_Principal)/(supplier_share+Minority_pct_excl_bridge-Land_as_equity_pct+Bridge_Equity_share)</f>
        <v>#NAME?</v>
      </c>
      <c r="U130" s="0"/>
      <c r="Y130" s="39"/>
      <c r="Z130" s="39"/>
      <c r="AA130" s="39"/>
      <c r="AB130" s="39"/>
      <c r="AC130" s="39"/>
      <c r="AE130" s="0"/>
    </row>
    <row r="131" customFormat="false" ht="15" hidden="false" customHeight="false" outlineLevel="0" collapsed="false">
      <c r="B131" s="0"/>
      <c r="D131" s="67" t="s">
        <v>168</v>
      </c>
      <c r="E131" s="67"/>
      <c r="F131" s="8" t="s">
        <v>34</v>
      </c>
      <c r="G131" s="68"/>
      <c r="H131" s="100"/>
      <c r="I131" s="50" t="n">
        <f aca="false">INDEX(K131:R131,,$F$6)</f>
        <v>0</v>
      </c>
      <c r="K131" s="51" t="n">
        <v>0</v>
      </c>
      <c r="L131" s="51" t="n">
        <v>0</v>
      </c>
      <c r="M131" s="51" t="n">
        <v>0</v>
      </c>
      <c r="N131" s="51" t="n">
        <v>0</v>
      </c>
      <c r="O131" s="51" t="n">
        <v>0</v>
      </c>
      <c r="P131" s="51" t="n">
        <v>0</v>
      </c>
      <c r="Q131" s="51" t="n">
        <v>0</v>
      </c>
      <c r="R131" s="51" t="n">
        <v>0</v>
      </c>
      <c r="T131" s="97" t="e">
        <f aca="false">Bridge_Equity_share*(Total_Capital_Required-Bank_Principal)/(supplier_share+Minority_pct_excl_bridge-Land_as_equity_pct+Bridge_Equity_share)</f>
        <v>#NAME?</v>
      </c>
      <c r="U131" s="0"/>
      <c r="Y131" s="39"/>
      <c r="Z131" s="39"/>
      <c r="AA131" s="39"/>
      <c r="AB131" s="39"/>
      <c r="AC131" s="39"/>
      <c r="AE131" s="0"/>
    </row>
    <row r="132" customFormat="false" ht="15" hidden="false" customHeight="false" outlineLevel="0" collapsed="false">
      <c r="B132" s="0"/>
      <c r="D132" s="7" t="s">
        <v>169</v>
      </c>
      <c r="E132" s="0"/>
      <c r="F132" s="8" t="s">
        <v>34</v>
      </c>
      <c r="G132" s="0"/>
      <c r="H132" s="0"/>
      <c r="I132" s="50" t="n">
        <f aca="false">INDEX(K132:R132,,$F$6)</f>
        <v>0</v>
      </c>
      <c r="K132" s="51" t="n">
        <v>0</v>
      </c>
      <c r="L132" s="51" t="n">
        <v>0</v>
      </c>
      <c r="M132" s="51" t="n">
        <v>0</v>
      </c>
      <c r="N132" s="51" t="n">
        <v>0</v>
      </c>
      <c r="O132" s="51" t="n">
        <v>0</v>
      </c>
      <c r="P132" s="51" t="n">
        <v>0</v>
      </c>
      <c r="Q132" s="51" t="n">
        <v>0</v>
      </c>
      <c r="R132" s="51" t="n">
        <v>0</v>
      </c>
      <c r="T132" s="97" t="e">
        <f aca="false">Land_as_equity_pct/Minority_pct_excl_bridge*Minority_Equity_value_excl_bridge</f>
        <v>#NAME?</v>
      </c>
      <c r="U132" s="0"/>
      <c r="Y132" s="39"/>
      <c r="Z132" s="39"/>
      <c r="AA132" s="39"/>
      <c r="AB132" s="39"/>
      <c r="AC132" s="39"/>
      <c r="AE132" s="0"/>
    </row>
    <row r="133" customFormat="false" ht="15" hidden="false" customHeight="false" outlineLevel="0" collapsed="false">
      <c r="B133" s="0"/>
      <c r="D133" s="7" t="s">
        <v>170</v>
      </c>
      <c r="E133" s="0"/>
      <c r="F133" s="8" t="s">
        <v>34</v>
      </c>
      <c r="G133" s="0"/>
      <c r="H133" s="0"/>
      <c r="I133" s="0"/>
      <c r="K133" s="101" t="n">
        <f aca="false">K130-K132</f>
        <v>0.25</v>
      </c>
      <c r="L133" s="101" t="n">
        <f aca="false">L130-L132</f>
        <v>0.25</v>
      </c>
      <c r="M133" s="101" t="n">
        <f aca="false">M130-M132</f>
        <v>0.25</v>
      </c>
      <c r="N133" s="101" t="n">
        <f aca="false">N130-N132</f>
        <v>0.25</v>
      </c>
      <c r="O133" s="101" t="n">
        <f aca="false">O130-O132</f>
        <v>0.25</v>
      </c>
      <c r="P133" s="101" t="n">
        <f aca="false">P130-P132</f>
        <v>0.25</v>
      </c>
      <c r="Q133" s="101" t="n">
        <f aca="false">Q130-Q132</f>
        <v>0.25</v>
      </c>
      <c r="R133" s="101" t="n">
        <f aca="false">R130-R132</f>
        <v>0.25</v>
      </c>
      <c r="T133" s="97"/>
      <c r="U133" s="0"/>
      <c r="Y133" s="39"/>
      <c r="Z133" s="39"/>
      <c r="AA133" s="39"/>
      <c r="AB133" s="39"/>
      <c r="AC133" s="39"/>
      <c r="AE133" s="0"/>
    </row>
    <row r="134" customFormat="false" ht="15" hidden="false" customHeight="false" outlineLevel="0" collapsed="false">
      <c r="B134" s="0"/>
      <c r="D134" s="67" t="s">
        <v>171</v>
      </c>
      <c r="E134" s="67"/>
      <c r="F134" s="8" t="s">
        <v>34</v>
      </c>
      <c r="G134" s="68"/>
      <c r="H134" s="100"/>
      <c r="I134" s="50" t="n">
        <f aca="false">INDEX(K134:R134,,$F$6)</f>
        <v>0</v>
      </c>
      <c r="K134" s="51"/>
      <c r="L134" s="51"/>
      <c r="M134" s="51"/>
      <c r="N134" s="51"/>
      <c r="O134" s="51"/>
      <c r="P134" s="51"/>
      <c r="Q134" s="51"/>
      <c r="R134" s="51"/>
      <c r="T134" s="97"/>
      <c r="U134" s="0"/>
      <c r="Y134" s="39"/>
      <c r="Z134" s="39"/>
      <c r="AA134" s="39"/>
      <c r="AB134" s="39"/>
      <c r="AC134" s="39"/>
      <c r="AE134" s="0"/>
    </row>
    <row r="135" customFormat="false" ht="15" hidden="false" customHeight="false" outlineLevel="0" collapsed="false">
      <c r="B135" s="0"/>
      <c r="D135" s="67" t="s">
        <v>172</v>
      </c>
      <c r="E135" s="67"/>
      <c r="F135" s="8" t="s">
        <v>110</v>
      </c>
      <c r="G135" s="68"/>
      <c r="H135" s="100"/>
      <c r="I135" s="40" t="n">
        <f aca="false">INDEX(K135:R135,,$F$6)</f>
        <v>15</v>
      </c>
      <c r="K135" s="41" t="n">
        <v>15</v>
      </c>
      <c r="L135" s="41" t="n">
        <v>15</v>
      </c>
      <c r="M135" s="41" t="n">
        <v>15</v>
      </c>
      <c r="N135" s="41" t="n">
        <v>15</v>
      </c>
      <c r="O135" s="41" t="n">
        <v>15</v>
      </c>
      <c r="P135" s="41" t="n">
        <v>15</v>
      </c>
      <c r="Q135" s="41" t="n">
        <v>15</v>
      </c>
      <c r="R135" s="41" t="n">
        <v>15</v>
      </c>
      <c r="T135" s="97"/>
      <c r="U135" s="0"/>
      <c r="Y135" s="39"/>
      <c r="Z135" s="39"/>
      <c r="AA135" s="39"/>
      <c r="AB135" s="39"/>
      <c r="AC135" s="39"/>
      <c r="AE135" s="0"/>
    </row>
    <row r="136" customFormat="false" ht="15" hidden="false" customHeight="false" outlineLevel="0" collapsed="false">
      <c r="B136" s="0"/>
      <c r="D136" s="0"/>
      <c r="F136" s="0"/>
      <c r="I136" s="0"/>
      <c r="K136" s="0"/>
      <c r="L136" s="0"/>
      <c r="M136" s="0"/>
      <c r="N136" s="0"/>
      <c r="O136" s="0"/>
      <c r="P136" s="0"/>
      <c r="Q136" s="0"/>
      <c r="R136" s="0"/>
      <c r="T136" s="97"/>
      <c r="U136" s="0"/>
      <c r="Y136" s="39"/>
      <c r="Z136" s="39"/>
      <c r="AA136" s="39"/>
      <c r="AB136" s="39"/>
      <c r="AC136" s="39"/>
      <c r="AE136" s="0"/>
    </row>
    <row r="137" customFormat="false" ht="15" hidden="false" customHeight="false" outlineLevel="0" collapsed="false">
      <c r="B137" s="38" t="n">
        <f aca="false">(MAX($A$7:B129)+0.1)</f>
        <v>2.7</v>
      </c>
      <c r="D137" s="38" t="s">
        <v>173</v>
      </c>
      <c r="F137" s="0"/>
      <c r="I137" s="0"/>
      <c r="K137" s="0"/>
      <c r="L137" s="0"/>
      <c r="M137" s="0"/>
      <c r="N137" s="0"/>
      <c r="O137" s="0"/>
      <c r="P137" s="0"/>
      <c r="Q137" s="0"/>
      <c r="R137" s="0"/>
      <c r="T137" s="0"/>
      <c r="U137" s="0"/>
      <c r="Y137" s="39"/>
      <c r="Z137" s="39"/>
      <c r="AA137" s="39"/>
      <c r="AB137" s="39"/>
      <c r="AC137" s="39"/>
      <c r="AE137" s="0"/>
    </row>
    <row r="138" customFormat="false" ht="15" hidden="false" customHeight="false" outlineLevel="0" collapsed="false">
      <c r="B138" s="0"/>
      <c r="D138" s="7" t="s">
        <v>174</v>
      </c>
      <c r="F138" s="0"/>
      <c r="I138" s="40" t="str">
        <f aca="false">INDEX(K138:R138,,$F$6)</f>
        <v>shareholder</v>
      </c>
      <c r="K138" s="52" t="s">
        <v>175</v>
      </c>
      <c r="L138" s="52" t="s">
        <v>175</v>
      </c>
      <c r="M138" s="52" t="s">
        <v>175</v>
      </c>
      <c r="N138" s="52" t="s">
        <v>175</v>
      </c>
      <c r="O138" s="52" t="s">
        <v>175</v>
      </c>
      <c r="P138" s="52" t="s">
        <v>175</v>
      </c>
      <c r="Q138" s="52" t="s">
        <v>175</v>
      </c>
      <c r="R138" s="52" t="s">
        <v>175</v>
      </c>
      <c r="T138" s="102"/>
      <c r="U138" s="0"/>
      <c r="Y138" s="39"/>
      <c r="Z138" s="39"/>
      <c r="AA138" s="39"/>
      <c r="AB138" s="39"/>
      <c r="AC138" s="39"/>
      <c r="AE138" s="13" t="s">
        <v>176</v>
      </c>
    </row>
    <row r="139" customFormat="false" ht="15" hidden="false" customHeight="false" outlineLevel="0" collapsed="false">
      <c r="B139" s="0"/>
      <c r="D139" s="7" t="s">
        <v>177</v>
      </c>
      <c r="F139" s="8" t="s">
        <v>34</v>
      </c>
      <c r="I139" s="50" t="n">
        <f aca="false">INDEX(K139:R139,,$F$6)</f>
        <v>0</v>
      </c>
      <c r="K139" s="51" t="n">
        <v>0</v>
      </c>
      <c r="L139" s="51" t="n">
        <v>0</v>
      </c>
      <c r="M139" s="51" t="n">
        <v>0</v>
      </c>
      <c r="N139" s="51" t="n">
        <v>0</v>
      </c>
      <c r="O139" s="51" t="n">
        <v>0</v>
      </c>
      <c r="P139" s="51" t="n">
        <v>0</v>
      </c>
      <c r="Q139" s="51" t="n">
        <v>0</v>
      </c>
      <c r="R139" s="51" t="n">
        <v>0</v>
      </c>
      <c r="T139" s="103" t="e">
        <f aca="false">Funding!H18</f>
        <v>#NAME?</v>
      </c>
      <c r="U139" s="7" t="s">
        <v>178</v>
      </c>
      <c r="Y139" s="39"/>
      <c r="Z139" s="39"/>
      <c r="AA139" s="39"/>
      <c r="AB139" s="39"/>
      <c r="AC139" s="39"/>
      <c r="AE139" s="13" t="s">
        <v>175</v>
      </c>
    </row>
    <row r="140" customFormat="false" ht="15" hidden="false" customHeight="false" outlineLevel="0" collapsed="false">
      <c r="B140" s="0"/>
      <c r="D140" s="7" t="s">
        <v>179</v>
      </c>
      <c r="F140" s="8" t="s">
        <v>34</v>
      </c>
      <c r="I140" s="46" t="n">
        <f aca="false">INDEX(K140:R140,,$F$6)</f>
        <v>0.095</v>
      </c>
      <c r="K140" s="47" t="n">
        <v>0.095</v>
      </c>
      <c r="L140" s="47" t="n">
        <v>0.095</v>
      </c>
      <c r="M140" s="47" t="n">
        <v>0.095</v>
      </c>
      <c r="N140" s="47" t="n">
        <v>0.095</v>
      </c>
      <c r="O140" s="47" t="n">
        <v>0.095</v>
      </c>
      <c r="P140" s="47" t="n">
        <v>0.095</v>
      </c>
      <c r="Q140" s="47" t="n">
        <v>0.095</v>
      </c>
      <c r="R140" s="47" t="n">
        <v>0.095</v>
      </c>
      <c r="Y140" s="39"/>
      <c r="Z140" s="39"/>
      <c r="AA140" s="39"/>
      <c r="AB140" s="39"/>
      <c r="AC140" s="39"/>
      <c r="AE140" s="0"/>
    </row>
    <row r="141" customFormat="false" ht="15" hidden="false" customHeight="false" outlineLevel="0" collapsed="false">
      <c r="B141" s="0"/>
      <c r="D141" s="7" t="s">
        <v>135</v>
      </c>
      <c r="F141" s="8" t="s">
        <v>44</v>
      </c>
      <c r="I141" s="40" t="str">
        <f aca="false">INDEX(K141:R141,,$F$6)</f>
        <v>amortization</v>
      </c>
      <c r="K141" s="52" t="s">
        <v>136</v>
      </c>
      <c r="L141" s="52" t="s">
        <v>136</v>
      </c>
      <c r="M141" s="52" t="s">
        <v>136</v>
      </c>
      <c r="N141" s="52" t="s">
        <v>136</v>
      </c>
      <c r="O141" s="52" t="s">
        <v>136</v>
      </c>
      <c r="P141" s="52" t="s">
        <v>136</v>
      </c>
      <c r="Q141" s="52" t="s">
        <v>136</v>
      </c>
      <c r="R141" s="52" t="s">
        <v>136</v>
      </c>
      <c r="Y141" s="39"/>
      <c r="Z141" s="39"/>
      <c r="AA141" s="39"/>
      <c r="AB141" s="39"/>
      <c r="AC141" s="39"/>
      <c r="AE141" s="13" t="s">
        <v>136</v>
      </c>
    </row>
    <row r="142" customFormat="false" ht="15" hidden="false" customHeight="false" outlineLevel="0" collapsed="false">
      <c r="B142" s="0"/>
      <c r="D142" s="7" t="s">
        <v>180</v>
      </c>
      <c r="F142" s="8" t="s">
        <v>110</v>
      </c>
      <c r="I142" s="40" t="n">
        <f aca="false">INDEX(K142:R142,,$F$6)</f>
        <v>10</v>
      </c>
      <c r="K142" s="41" t="n">
        <v>10</v>
      </c>
      <c r="L142" s="41" t="n">
        <v>10</v>
      </c>
      <c r="M142" s="41" t="n">
        <v>10</v>
      </c>
      <c r="N142" s="41" t="n">
        <v>10</v>
      </c>
      <c r="O142" s="41" t="n">
        <v>10</v>
      </c>
      <c r="P142" s="41" t="n">
        <v>16</v>
      </c>
      <c r="Q142" s="41" t="n">
        <v>16</v>
      </c>
      <c r="R142" s="41" t="n">
        <v>16</v>
      </c>
      <c r="Y142" s="39"/>
      <c r="Z142" s="39"/>
      <c r="AA142" s="39"/>
      <c r="AB142" s="39"/>
      <c r="AC142" s="39"/>
      <c r="AE142" s="13" t="s">
        <v>181</v>
      </c>
    </row>
    <row r="143" customFormat="false" ht="15" hidden="false" customHeight="false" outlineLevel="0" collapsed="false">
      <c r="B143" s="0"/>
      <c r="D143" s="7" t="s">
        <v>182</v>
      </c>
      <c r="F143" s="8" t="s">
        <v>110</v>
      </c>
      <c r="I143" s="40" t="n">
        <f aca="false">INDEX(K143:R143,,$F$6)</f>
        <v>0</v>
      </c>
      <c r="K143" s="41" t="n">
        <v>0</v>
      </c>
      <c r="L143" s="41" t="n">
        <v>0</v>
      </c>
      <c r="M143" s="41" t="n">
        <v>0</v>
      </c>
      <c r="N143" s="41" t="n">
        <v>0</v>
      </c>
      <c r="O143" s="41" t="n">
        <v>0</v>
      </c>
      <c r="P143" s="41" t="n">
        <v>0</v>
      </c>
      <c r="Q143" s="41" t="n">
        <v>0</v>
      </c>
      <c r="R143" s="41" t="n">
        <v>0</v>
      </c>
      <c r="Y143" s="39"/>
      <c r="Z143" s="39"/>
      <c r="AA143" s="39"/>
      <c r="AB143" s="39"/>
      <c r="AC143" s="39"/>
    </row>
    <row r="144" customFormat="false" ht="15" hidden="false" customHeight="false" outlineLevel="0" collapsed="false">
      <c r="B144" s="0"/>
      <c r="D144" s="0"/>
      <c r="F144" s="0"/>
      <c r="I144" s="0"/>
      <c r="K144" s="0"/>
      <c r="L144" s="0"/>
      <c r="M144" s="0"/>
      <c r="N144" s="0"/>
      <c r="O144" s="0"/>
      <c r="P144" s="0"/>
      <c r="Q144" s="0"/>
      <c r="R144" s="0"/>
      <c r="Y144" s="39"/>
      <c r="Z144" s="39"/>
      <c r="AA144" s="39"/>
      <c r="AB144" s="39"/>
      <c r="AC144" s="39"/>
    </row>
    <row r="145" customFormat="false" ht="15" hidden="false" customHeight="false" outlineLevel="0" collapsed="false">
      <c r="B145" s="38" t="n">
        <f aca="false">(MAX($A$7:B142)+0.1)</f>
        <v>2.8</v>
      </c>
      <c r="D145" s="38" t="s">
        <v>183</v>
      </c>
      <c r="F145" s="0"/>
      <c r="I145" s="0"/>
      <c r="K145" s="0"/>
      <c r="L145" s="0"/>
      <c r="M145" s="0"/>
      <c r="N145" s="0"/>
      <c r="O145" s="0"/>
      <c r="P145" s="0"/>
      <c r="Q145" s="0"/>
      <c r="R145" s="0"/>
      <c r="Y145" s="39"/>
      <c r="Z145" s="39"/>
      <c r="AA145" s="39"/>
      <c r="AB145" s="39"/>
      <c r="AC145" s="39"/>
    </row>
    <row r="146" customFormat="false" ht="15" hidden="false" customHeight="false" outlineLevel="0" collapsed="false">
      <c r="D146" s="7" t="s">
        <v>135</v>
      </c>
      <c r="F146" s="8" t="s">
        <v>44</v>
      </c>
      <c r="I146" s="40" t="str">
        <f aca="false">INDEX(K146:R146,,$F$6)</f>
        <v>ASAP</v>
      </c>
      <c r="K146" s="52" t="s">
        <v>181</v>
      </c>
      <c r="L146" s="52" t="s">
        <v>181</v>
      </c>
      <c r="M146" s="52" t="s">
        <v>181</v>
      </c>
      <c r="N146" s="52" t="s">
        <v>181</v>
      </c>
      <c r="O146" s="52" t="s">
        <v>181</v>
      </c>
      <c r="P146" s="52" t="s">
        <v>181</v>
      </c>
      <c r="Q146" s="52" t="s">
        <v>181</v>
      </c>
      <c r="R146" s="52" t="s">
        <v>181</v>
      </c>
      <c r="Y146" s="39"/>
      <c r="Z146" s="39"/>
      <c r="AA146" s="39"/>
      <c r="AB146" s="39"/>
      <c r="AC146" s="39"/>
    </row>
    <row r="147" customFormat="false" ht="15" hidden="false" customHeight="false" outlineLevel="0" collapsed="false">
      <c r="D147" s="7" t="s">
        <v>184</v>
      </c>
      <c r="F147" s="8" t="s">
        <v>34</v>
      </c>
      <c r="I147" s="50" t="n">
        <f aca="false">INDEX(K147:R147,,$F$6)</f>
        <v>0.085</v>
      </c>
      <c r="K147" s="47" t="n">
        <v>0.085</v>
      </c>
      <c r="L147" s="47" t="n">
        <v>0.085</v>
      </c>
      <c r="M147" s="47" t="n">
        <v>0.085</v>
      </c>
      <c r="N147" s="47" t="n">
        <v>0.085</v>
      </c>
      <c r="O147" s="47" t="n">
        <v>0.085</v>
      </c>
      <c r="P147" s="47" t="n">
        <v>0.085</v>
      </c>
      <c r="Q147" s="47" t="n">
        <v>0.085</v>
      </c>
      <c r="R147" s="47" t="n">
        <v>0.085</v>
      </c>
      <c r="Y147" s="39"/>
      <c r="Z147" s="39"/>
      <c r="AA147" s="39"/>
      <c r="AB147" s="39"/>
      <c r="AC147" s="39"/>
    </row>
    <row r="148" customFormat="false" ht="15" hidden="false" customHeight="false" outlineLevel="0" collapsed="false">
      <c r="D148" s="7" t="s">
        <v>185</v>
      </c>
      <c r="F148" s="8" t="s">
        <v>34</v>
      </c>
      <c r="I148" s="46" t="n">
        <f aca="false">INDEX(K148:R148,,$F$6)</f>
        <v>0</v>
      </c>
      <c r="K148" s="47" t="n">
        <v>0</v>
      </c>
      <c r="L148" s="47" t="n">
        <v>0</v>
      </c>
      <c r="M148" s="47" t="n">
        <v>0</v>
      </c>
      <c r="N148" s="47" t="n">
        <v>0</v>
      </c>
      <c r="O148" s="47" t="n">
        <v>0</v>
      </c>
      <c r="P148" s="47" t="n">
        <v>0</v>
      </c>
      <c r="Q148" s="47" t="n">
        <v>0</v>
      </c>
      <c r="R148" s="47" t="n">
        <v>0</v>
      </c>
      <c r="Y148" s="39"/>
      <c r="Z148" s="39"/>
      <c r="AA148" s="39"/>
      <c r="AB148" s="39"/>
      <c r="AC148" s="39"/>
    </row>
    <row r="149" customFormat="false" ht="15" hidden="false" customHeight="false" outlineLevel="0" collapsed="false">
      <c r="D149" s="7" t="s">
        <v>186</v>
      </c>
      <c r="F149" s="8" t="s">
        <v>110</v>
      </c>
      <c r="I149" s="40" t="n">
        <f aca="false">INDEX(K149:R149,,$F$6)</f>
        <v>12</v>
      </c>
      <c r="K149" s="41" t="n">
        <v>12</v>
      </c>
      <c r="L149" s="41" t="n">
        <v>12</v>
      </c>
      <c r="M149" s="41" t="n">
        <v>12</v>
      </c>
      <c r="N149" s="41" t="n">
        <v>12</v>
      </c>
      <c r="O149" s="41" t="n">
        <v>12</v>
      </c>
      <c r="P149" s="41" t="n">
        <v>12</v>
      </c>
      <c r="Q149" s="41" t="n">
        <v>12</v>
      </c>
      <c r="R149" s="41" t="n">
        <v>12</v>
      </c>
      <c r="Y149" s="39"/>
      <c r="Z149" s="39"/>
      <c r="AA149" s="39"/>
      <c r="AB149" s="39"/>
      <c r="AC149" s="39"/>
    </row>
    <row r="150" customFormat="false" ht="15" hidden="false" customHeight="false" outlineLevel="0" collapsed="false">
      <c r="D150" s="0"/>
      <c r="F150" s="0"/>
      <c r="K150" s="0"/>
      <c r="L150" s="0"/>
      <c r="M150" s="0"/>
      <c r="N150" s="0"/>
      <c r="O150" s="0"/>
      <c r="P150" s="0"/>
      <c r="Q150" s="0"/>
      <c r="R150" s="0"/>
      <c r="Y150" s="39"/>
      <c r="Z150" s="39"/>
      <c r="AA150" s="39"/>
      <c r="AB150" s="39"/>
      <c r="AC150" s="39"/>
    </row>
    <row r="151" customFormat="false" ht="15" hidden="false" customHeight="false" outlineLevel="0" collapsed="false">
      <c r="D151" s="0"/>
      <c r="F151" s="0"/>
      <c r="K151" s="0"/>
      <c r="L151" s="0"/>
      <c r="M151" s="0"/>
      <c r="N151" s="0"/>
      <c r="O151" s="0"/>
      <c r="P151" s="0"/>
      <c r="Q151" s="0"/>
      <c r="R151" s="0"/>
      <c r="Y151" s="39"/>
      <c r="Z151" s="39"/>
      <c r="AA151" s="39"/>
      <c r="AB151" s="39"/>
      <c r="AC151" s="39"/>
    </row>
    <row r="152" customFormat="false" ht="15" hidden="false" customHeight="false" outlineLevel="0" collapsed="false">
      <c r="D152" s="0"/>
      <c r="F152" s="0"/>
      <c r="K152" s="0"/>
      <c r="L152" s="0"/>
      <c r="M152" s="0"/>
      <c r="N152" s="0"/>
      <c r="O152" s="0"/>
      <c r="P152" s="0"/>
      <c r="Q152" s="0"/>
      <c r="R152" s="0"/>
    </row>
    <row r="153" customFormat="false" ht="15" hidden="false" customHeight="false" outlineLevel="0" collapsed="false">
      <c r="D153" s="7" t="s">
        <v>187</v>
      </c>
      <c r="F153" s="8" t="s">
        <v>34</v>
      </c>
      <c r="K153" s="103" t="n">
        <f aca="false">Results!J8</f>
        <v>0.139223395109437</v>
      </c>
      <c r="L153" s="103" t="n">
        <f aca="false">Results!K8</f>
        <v>0.132476058488683</v>
      </c>
      <c r="M153" s="103" t="n">
        <f aca="false">Results!L8</f>
        <v>0.125772139687045</v>
      </c>
      <c r="N153" s="103" t="n">
        <f aca="false">Results!M8</f>
        <v>0.119111349148494</v>
      </c>
      <c r="O153" s="103" t="n">
        <f aca="false">Results!N8</f>
        <v>0.155820890051163</v>
      </c>
      <c r="P153" s="103" t="n">
        <f aca="false">Results!O8</f>
        <v>0.148663079026291</v>
      </c>
      <c r="Q153" s="103" t="n">
        <f aca="false">Results!P8</f>
        <v>0.141552598936506</v>
      </c>
      <c r="R153" s="103" t="n">
        <f aca="false">Results!Q8</f>
        <v>0.134489578240866</v>
      </c>
    </row>
  </sheetData>
  <mergeCells count="2">
    <mergeCell ref="L1:R2"/>
    <mergeCell ref="Y6:AD6"/>
  </mergeCells>
  <dataValidations count="14">
    <dataValidation allowBlank="true" operator="between" showDropDown="false" showErrorMessage="true" showInputMessage="true" sqref="K118:R118" type="list">
      <formula1>$AE108:$AE109</formula1>
      <formula2>0</formula2>
    </dataValidation>
    <dataValidation allowBlank="true" operator="between" showDropDown="false" showErrorMessage="true" showInputMessage="true" sqref="K141:R141 K146:R146" type="list">
      <formula1>$AE$141:$AE$142</formula1>
      <formula2>0</formula2>
    </dataValidation>
    <dataValidation allowBlank="true" operator="between" showDropDown="false" showErrorMessage="true" showInputMessage="true" sqref="L121:M121 R121" type="list">
      <formula1>$AE$120:$AE$122</formula1>
      <formula2>0</formula2>
    </dataValidation>
    <dataValidation allowBlank="true" operator="between" showDropDown="false" showErrorMessage="true" showInputMessage="true" sqref="K100:R100" type="list">
      <formula1>$AE$100:$AE$102</formula1>
      <formula2>0</formula2>
    </dataValidation>
    <dataValidation allowBlank="true" operator="between" showDropDown="false" showErrorMessage="true" showInputMessage="true" sqref="K138:R138" type="list">
      <formula1>$AE$138:$AE$139</formula1>
      <formula2>0</formula2>
    </dataValidation>
    <dataValidation allowBlank="true" error="Please input shareholder loan percentage that is less than or equal to Velcan's share in the equity capital (cell I114)" errorTitle="Error" operator="between" showDropDown="false" showErrorMessage="true" showInputMessage="true" sqref="K139:R139" type="custom">
      <formula1>K139&lt;=K128</formula1>
      <formula2>0</formula2>
    </dataValidation>
    <dataValidation allowBlank="true" operator="between" showDropDown="false" showErrorMessage="true" showInputMessage="true" sqref="K18:R18" type="list">
      <formula1>$AE11:$AE15</formula1>
      <formula2>0</formula2>
    </dataValidation>
    <dataValidation allowBlank="true" operator="between" showDropDown="false" showErrorMessage="true" showInputMessage="true" sqref="F6" type="list">
      <formula1>$K$4:$R$4</formula1>
      <formula2>0</formula2>
    </dataValidation>
    <dataValidation allowBlank="true" operator="between" showDropDown="false" showErrorMessage="true" showInputMessage="true" sqref="K121 N121:Q121" type="list">
      <formula1>$AE$119:$AE$121</formula1>
      <formula2>0</formula2>
    </dataValidation>
    <dataValidation allowBlank="true" operator="between" showDropDown="false" showErrorMessage="true" showInputMessage="true" sqref="K52:R52" type="list">
      <formula1>$AE108:$AE109</formula1>
      <formula2>0</formula2>
    </dataValidation>
    <dataValidation allowBlank="true" operator="between" showDropDown="false" showErrorMessage="true" showInputMessage="true" sqref="K95:R95" type="list">
      <formula1>$AE108:$AE109</formula1>
      <formula2>0</formula2>
    </dataValidation>
    <dataValidation allowBlank="true" operator="between" showDropDown="false" showErrorMessage="true" showInputMessage="true" sqref="K107:R107" type="list">
      <formula1>$AE108:$AE109</formula1>
      <formula2>0</formula2>
    </dataValidation>
    <dataValidation allowBlank="true" operator="between" showDropDown="false" showErrorMessage="true" showInputMessage="true" sqref="K93:R93" type="list">
      <formula1>$AE108:$AE109</formula1>
      <formula2>0</formula2>
    </dataValidation>
    <dataValidation allowBlank="true" operator="between" showDropDown="false" showErrorMessage="true" showInputMessage="true" sqref="K94:R94" type="list">
      <formula1>$AE94:$AE95</formula1>
      <formula2>0</formula2>
    </dataValidation>
  </dataValidation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AL157"/>
  <sheetViews>
    <sheetView windowProtection="true" showFormulas="false" showGridLines="false" showRowColHeaders="true" showZeros="true" rightToLeft="false" tabSelected="false" showOutlineSymbols="true" defaultGridColor="true" view="normal" topLeftCell="A1" colorId="64" zoomScale="85" zoomScaleNormal="85" zoomScalePageLayoutView="100" workbookViewId="0">
      <pane xSplit="8" ySplit="4" topLeftCell="I11" activePane="bottomRight" state="frozen"/>
      <selection pane="topLeft" activeCell="A1" activeCellId="0" sqref="A1"/>
      <selection pane="topRight" activeCell="I1" activeCellId="0" sqref="I1"/>
      <selection pane="bottomLeft" activeCell="A11" activeCellId="0" sqref="A11"/>
      <selection pane="bottomRight" activeCell="I31" activeCellId="0" sqref="I31"/>
    </sheetView>
  </sheetViews>
  <sheetFormatPr defaultRowHeight="15"/>
  <cols>
    <col collapsed="false" hidden="false" max="2" min="1" style="0" width="4.49797570850202"/>
    <col collapsed="false" hidden="false" max="3" min="3" style="0" width="38.668016194332"/>
    <col collapsed="false" hidden="false" max="4" min="4" style="0" width="3.96356275303644"/>
    <col collapsed="false" hidden="false" max="5" min="5" style="104" width="8.89068825910931"/>
    <col collapsed="false" hidden="false" max="6" min="6" style="0" width="3.31983805668016"/>
    <col collapsed="false" hidden="false" max="7" min="7" style="0" width="15.8542510121457"/>
    <col collapsed="false" hidden="false" max="8" min="8" style="105" width="3.53441295546559"/>
    <col collapsed="false" hidden="false" max="9" min="9" style="0" width="10.6032388663968"/>
    <col collapsed="false" hidden="false" max="21" min="10" style="0" width="12.1052631578947"/>
    <col collapsed="false" hidden="false" max="38" min="22" style="0" width="11.6761133603239"/>
    <col collapsed="false" hidden="false" max="39" min="39" style="0" width="8.89068825910931"/>
    <col collapsed="false" hidden="true" max="1025" min="40" style="0" width="0"/>
  </cols>
  <sheetData>
    <row r="1" s="14" customFormat="true" ht="15" hidden="false" customHeight="false" outlineLevel="0" collapsed="false">
      <c r="A1" s="14" t="str">
        <f aca="false">Parameters!A1</f>
        <v>supplier SOLAR MODEL</v>
      </c>
      <c r="E1" s="15"/>
      <c r="F1" s="15"/>
      <c r="G1" s="15"/>
      <c r="H1" s="106" t="s">
        <v>188</v>
      </c>
      <c r="I1" s="107" t="n">
        <v>1</v>
      </c>
      <c r="J1" s="107" t="n">
        <v>2</v>
      </c>
      <c r="K1" s="107" t="n">
        <v>3</v>
      </c>
      <c r="L1" s="107" t="n">
        <v>4</v>
      </c>
      <c r="M1" s="107" t="n">
        <v>5</v>
      </c>
      <c r="N1" s="107" t="n">
        <v>6</v>
      </c>
      <c r="O1" s="107" t="n">
        <v>7</v>
      </c>
      <c r="P1" s="107" t="n">
        <v>8</v>
      </c>
      <c r="Q1" s="107" t="n">
        <v>9</v>
      </c>
      <c r="R1" s="107" t="n">
        <v>10</v>
      </c>
      <c r="S1" s="107" t="n">
        <v>11</v>
      </c>
      <c r="T1" s="107" t="n">
        <v>12</v>
      </c>
      <c r="U1" s="107" t="n">
        <v>13</v>
      </c>
      <c r="V1" s="107" t="n">
        <v>14</v>
      </c>
      <c r="W1" s="107" t="n">
        <v>15</v>
      </c>
      <c r="X1" s="107" t="n">
        <v>16</v>
      </c>
      <c r="Y1" s="107" t="n">
        <v>17</v>
      </c>
      <c r="Z1" s="107" t="n">
        <v>18</v>
      </c>
      <c r="AA1" s="107" t="n">
        <v>19</v>
      </c>
      <c r="AB1" s="107" t="n">
        <v>20</v>
      </c>
      <c r="AC1" s="107" t="n">
        <v>21</v>
      </c>
      <c r="AD1" s="107" t="n">
        <v>22</v>
      </c>
      <c r="AE1" s="107" t="n">
        <v>23</v>
      </c>
      <c r="AF1" s="107" t="n">
        <v>24</v>
      </c>
      <c r="AG1" s="107" t="n">
        <v>25</v>
      </c>
      <c r="AH1" s="107" t="n">
        <v>26</v>
      </c>
      <c r="AI1" s="107" t="n">
        <v>27</v>
      </c>
      <c r="AJ1" s="107" t="n">
        <v>28</v>
      </c>
      <c r="AK1" s="107" t="n">
        <v>29</v>
      </c>
      <c r="AL1" s="107" t="n">
        <v>30</v>
      </c>
    </row>
    <row r="2" customFormat="false" ht="15" hidden="false" customHeight="false" outlineLevel="0" collapsed="false">
      <c r="A2" s="14" t="str">
        <f aca="false">Parameters!A2</f>
        <v>25.01.2017</v>
      </c>
      <c r="B2" s="14"/>
      <c r="C2" s="14"/>
      <c r="D2" s="14"/>
      <c r="E2" s="15"/>
      <c r="F2" s="15"/>
      <c r="G2" s="15"/>
      <c r="H2" s="108" t="s">
        <v>112</v>
      </c>
      <c r="I2" s="109" t="n">
        <f aca="false">Start_Date</f>
        <v>42522</v>
      </c>
      <c r="J2" s="109" t="n">
        <f aca="false">I3+1</f>
        <v>42887</v>
      </c>
      <c r="K2" s="109" t="n">
        <f aca="false">J3+1</f>
        <v>43252</v>
      </c>
      <c r="L2" s="109" t="n">
        <f aca="false">K3+1</f>
        <v>43617</v>
      </c>
      <c r="M2" s="109" t="n">
        <f aca="false">L3+1</f>
        <v>43982</v>
      </c>
      <c r="N2" s="109" t="n">
        <f aca="false">M3+1</f>
        <v>44348</v>
      </c>
      <c r="O2" s="109" t="n">
        <f aca="false">N3+1</f>
        <v>44713</v>
      </c>
      <c r="P2" s="109" t="n">
        <f aca="false">O3+1</f>
        <v>45078</v>
      </c>
      <c r="Q2" s="109" t="n">
        <f aca="false">P3+1</f>
        <v>45443</v>
      </c>
      <c r="R2" s="109" t="n">
        <f aca="false">Q3+1</f>
        <v>45809</v>
      </c>
      <c r="S2" s="109" t="n">
        <f aca="false">R3+1</f>
        <v>46174</v>
      </c>
      <c r="T2" s="109" t="n">
        <f aca="false">S3+1</f>
        <v>46539</v>
      </c>
      <c r="U2" s="109" t="n">
        <f aca="false">T3+1</f>
        <v>46904</v>
      </c>
      <c r="V2" s="109" t="n">
        <f aca="false">U3+1</f>
        <v>47270</v>
      </c>
      <c r="W2" s="109" t="n">
        <f aca="false">V3+1</f>
        <v>47635</v>
      </c>
      <c r="X2" s="109" t="n">
        <f aca="false">W3+1</f>
        <v>48000</v>
      </c>
      <c r="Y2" s="109" t="n">
        <f aca="false">X3+1</f>
        <v>48365</v>
      </c>
      <c r="Z2" s="109" t="n">
        <f aca="false">Y3+1</f>
        <v>48731</v>
      </c>
      <c r="AA2" s="109" t="n">
        <f aca="false">Z3+1</f>
        <v>49096</v>
      </c>
      <c r="AB2" s="109" t="n">
        <f aca="false">AA3+1</f>
        <v>49461</v>
      </c>
      <c r="AC2" s="109" t="n">
        <f aca="false">AB3+1</f>
        <v>49826</v>
      </c>
      <c r="AD2" s="109" t="n">
        <f aca="false">AC3+1</f>
        <v>50192</v>
      </c>
      <c r="AE2" s="109" t="n">
        <f aca="false">AD3+1</f>
        <v>50557</v>
      </c>
      <c r="AF2" s="109" t="n">
        <f aca="false">AE3+1</f>
        <v>50922</v>
      </c>
      <c r="AG2" s="109" t="n">
        <f aca="false">AF3+1</f>
        <v>51287</v>
      </c>
      <c r="AH2" s="109" t="n">
        <f aca="false">AG3+1</f>
        <v>51653</v>
      </c>
      <c r="AI2" s="109" t="n">
        <f aca="false">AH3+1</f>
        <v>52018</v>
      </c>
      <c r="AJ2" s="109" t="n">
        <f aca="false">AI3+1</f>
        <v>52383</v>
      </c>
      <c r="AK2" s="109" t="n">
        <f aca="false">AJ3+1</f>
        <v>52748</v>
      </c>
      <c r="AL2" s="109" t="n">
        <f aca="false">AK3+1</f>
        <v>53114</v>
      </c>
    </row>
    <row r="3" customFormat="false" ht="15" hidden="false" customHeight="false" outlineLevel="0" collapsed="false">
      <c r="A3" s="14" t="str">
        <f aca="false">Parameters!A3</f>
        <v>customer GROUP</v>
      </c>
      <c r="B3" s="14"/>
      <c r="C3" s="14"/>
      <c r="D3" s="14"/>
      <c r="E3" s="15"/>
      <c r="F3" s="15"/>
      <c r="G3" s="15"/>
      <c r="H3" s="108" t="s">
        <v>189</v>
      </c>
      <c r="I3" s="109" t="n">
        <f aca="false">I2+I4-1</f>
        <v>42886</v>
      </c>
      <c r="J3" s="109" t="n">
        <f aca="false">J2+J4-1</f>
        <v>43251</v>
      </c>
      <c r="K3" s="109" t="n">
        <f aca="false">K2+K4-1</f>
        <v>43616</v>
      </c>
      <c r="L3" s="109" t="n">
        <f aca="false">L2+L4-1</f>
        <v>43981</v>
      </c>
      <c r="M3" s="109" t="n">
        <f aca="false">M2+M4-1</f>
        <v>44347</v>
      </c>
      <c r="N3" s="109" t="n">
        <f aca="false">N2+N4-1</f>
        <v>44712</v>
      </c>
      <c r="O3" s="109" t="n">
        <f aca="false">O2+O4-1</f>
        <v>45077</v>
      </c>
      <c r="P3" s="109" t="n">
        <f aca="false">P2+P4-1</f>
        <v>45442</v>
      </c>
      <c r="Q3" s="109" t="n">
        <f aca="false">Q2+Q4-1</f>
        <v>45808</v>
      </c>
      <c r="R3" s="109" t="n">
        <f aca="false">R2+R4-1</f>
        <v>46173</v>
      </c>
      <c r="S3" s="109" t="n">
        <f aca="false">S2+S4-1</f>
        <v>46538</v>
      </c>
      <c r="T3" s="109" t="n">
        <f aca="false">T2+T4-1</f>
        <v>46903</v>
      </c>
      <c r="U3" s="109" t="n">
        <f aca="false">U2+U4-1</f>
        <v>47269</v>
      </c>
      <c r="V3" s="109" t="n">
        <f aca="false">V2+V4-1</f>
        <v>47634</v>
      </c>
      <c r="W3" s="109" t="n">
        <f aca="false">W2+W4-1</f>
        <v>47999</v>
      </c>
      <c r="X3" s="109" t="n">
        <f aca="false">X2+X4-1</f>
        <v>48364</v>
      </c>
      <c r="Y3" s="109" t="n">
        <f aca="false">Y2+Y4-1</f>
        <v>48730</v>
      </c>
      <c r="Z3" s="109" t="n">
        <f aca="false">Z2+Z4-1</f>
        <v>49095</v>
      </c>
      <c r="AA3" s="109" t="n">
        <f aca="false">AA2+AA4-1</f>
        <v>49460</v>
      </c>
      <c r="AB3" s="109" t="n">
        <f aca="false">AB2+AB4-1</f>
        <v>49825</v>
      </c>
      <c r="AC3" s="109" t="n">
        <f aca="false">AC2+AC4-1</f>
        <v>50191</v>
      </c>
      <c r="AD3" s="109" t="n">
        <f aca="false">AD2+AD4-1</f>
        <v>50556</v>
      </c>
      <c r="AE3" s="109" t="n">
        <f aca="false">AE2+AE4-1</f>
        <v>50921</v>
      </c>
      <c r="AF3" s="109" t="n">
        <f aca="false">AF2+AF4-1</f>
        <v>51286</v>
      </c>
      <c r="AG3" s="109" t="n">
        <f aca="false">AG2+AG4-1</f>
        <v>51652</v>
      </c>
      <c r="AH3" s="109" t="n">
        <f aca="false">AH2+AH4-1</f>
        <v>52017</v>
      </c>
      <c r="AI3" s="109" t="n">
        <f aca="false">AI2+AI4-1</f>
        <v>52382</v>
      </c>
      <c r="AJ3" s="109" t="n">
        <f aca="false">AJ2+AJ4-1</f>
        <v>52747</v>
      </c>
      <c r="AK3" s="109" t="n">
        <f aca="false">AK2+AK4-1</f>
        <v>53113</v>
      </c>
      <c r="AL3" s="109" t="n">
        <f aca="false">AL2+AL4-1</f>
        <v>53478</v>
      </c>
    </row>
    <row r="4" customFormat="false" ht="15" hidden="false" customHeight="false" outlineLevel="0" collapsed="false">
      <c r="A4" s="14" t="e">
        <f aca="false">Parameters!A4</f>
        <v>#VALUE!</v>
      </c>
      <c r="B4" s="14"/>
      <c r="C4" s="14"/>
      <c r="D4" s="14"/>
      <c r="E4" s="15"/>
      <c r="F4" s="15"/>
      <c r="G4" s="15"/>
      <c r="H4" s="108" t="s">
        <v>190</v>
      </c>
      <c r="I4" s="15" t="n">
        <f aca="false">IF(AND(MOD(YEAR(I2),4)=0,MONTH(I2)&lt;=2),366,365)</f>
        <v>365</v>
      </c>
      <c r="J4" s="15" t="n">
        <f aca="false">IF(IF(MONTH(J2)&lt;=2,MOD(YEAR(J2),4)=0,MOD(YEAR(I3),4)=0),366,365)</f>
        <v>365</v>
      </c>
      <c r="K4" s="15" t="n">
        <f aca="false">IF(IF(MONTH(K2)&lt;=2,MOD(YEAR(K2),4)=0,MOD(YEAR(J3),4)=0),366,365)</f>
        <v>365</v>
      </c>
      <c r="L4" s="15" t="n">
        <f aca="false">IF(IF(MONTH(L2)&lt;=2,MOD(YEAR(L2),4)=0,MOD(YEAR(K3),4)=0),366,365)</f>
        <v>365</v>
      </c>
      <c r="M4" s="15" t="n">
        <f aca="false">IF(IF(MONTH(M2)&lt;=2,MOD(YEAR(M2),4)=0,MOD(YEAR(L3),4)=0),366,365)</f>
        <v>366</v>
      </c>
      <c r="N4" s="15" t="n">
        <f aca="false">IF(IF(MONTH(N2)&lt;=2,MOD(YEAR(N2),4)=0,MOD(YEAR(M3),4)=0),366,365)</f>
        <v>365</v>
      </c>
      <c r="O4" s="15" t="n">
        <f aca="false">IF(IF(MONTH(O2)&lt;=2,MOD(YEAR(O2),4)=0,MOD(YEAR(N3),4)=0),366,365)</f>
        <v>365</v>
      </c>
      <c r="P4" s="15" t="n">
        <f aca="false">IF(IF(MONTH(P2)&lt;=2,MOD(YEAR(P2),4)=0,MOD(YEAR(O3),4)=0),366,365)</f>
        <v>365</v>
      </c>
      <c r="Q4" s="15" t="n">
        <f aca="false">IF(IF(MONTH(Q2)&lt;=2,MOD(YEAR(Q2),4)=0,MOD(YEAR(P3),4)=0),366,365)</f>
        <v>366</v>
      </c>
      <c r="R4" s="15" t="n">
        <f aca="false">IF(IF(MONTH(R2)&lt;=2,MOD(YEAR(R2),4)=0,MOD(YEAR(Q3),4)=0),366,365)</f>
        <v>365</v>
      </c>
      <c r="S4" s="15" t="n">
        <f aca="false">IF(IF(MONTH(S2)&lt;=2,MOD(YEAR(S2),4)=0,MOD(YEAR(R3),4)=0),366,365)</f>
        <v>365</v>
      </c>
      <c r="T4" s="15" t="n">
        <f aca="false">IF(IF(MONTH(T2)&lt;=2,MOD(YEAR(T2),4)=0,MOD(YEAR(S3),4)=0),366,365)</f>
        <v>365</v>
      </c>
      <c r="U4" s="15" t="n">
        <f aca="false">IF(IF(MONTH(U2)&lt;=2,MOD(YEAR(U2),4)=0,MOD(YEAR(T3),4)=0),366,365)</f>
        <v>366</v>
      </c>
      <c r="V4" s="15" t="n">
        <f aca="false">IF(IF(MONTH(V2)&lt;=2,MOD(YEAR(V2),4)=0,MOD(YEAR(U3),4)=0),366,365)</f>
        <v>365</v>
      </c>
      <c r="W4" s="15" t="n">
        <f aca="false">IF(IF(MONTH(W2)&lt;=2,MOD(YEAR(W2),4)=0,MOD(YEAR(V3),4)=0),366,365)</f>
        <v>365</v>
      </c>
      <c r="X4" s="15" t="n">
        <f aca="false">IF(IF(MONTH(X2)&lt;=2,MOD(YEAR(X2),4)=0,MOD(YEAR(W3),4)=0),366,365)</f>
        <v>365</v>
      </c>
      <c r="Y4" s="15" t="n">
        <f aca="false">IF(IF(MONTH(Y2)&lt;=2,MOD(YEAR(Y2),4)=0,MOD(YEAR(X3),4)=0),366,365)</f>
        <v>366</v>
      </c>
      <c r="Z4" s="15" t="n">
        <f aca="false">IF(IF(MONTH(Z2)&lt;=2,MOD(YEAR(Z2),4)=0,MOD(YEAR(Y3),4)=0),366,365)</f>
        <v>365</v>
      </c>
      <c r="AA4" s="15" t="n">
        <f aca="false">IF(IF(MONTH(AA2)&lt;=2,MOD(YEAR(AA2),4)=0,MOD(YEAR(Z3),4)=0),366,365)</f>
        <v>365</v>
      </c>
      <c r="AB4" s="15" t="n">
        <f aca="false">IF(IF(MONTH(AB2)&lt;=2,MOD(YEAR(AB2),4)=0,MOD(YEAR(AA3),4)=0),366,365)</f>
        <v>365</v>
      </c>
      <c r="AC4" s="15" t="n">
        <f aca="false">IF(IF(MONTH(AC2)&lt;=2,MOD(YEAR(AC2),4)=0,MOD(YEAR(AB3),4)=0),366,365)</f>
        <v>366</v>
      </c>
      <c r="AD4" s="15" t="n">
        <f aca="false">IF(IF(MONTH(AD2)&lt;=2,MOD(YEAR(AD2),4)=0,MOD(YEAR(AC3),4)=0),366,365)</f>
        <v>365</v>
      </c>
      <c r="AE4" s="15" t="n">
        <f aca="false">IF(IF(MONTH(AE2)&lt;=2,MOD(YEAR(AE2),4)=0,MOD(YEAR(AD3),4)=0),366,365)</f>
        <v>365</v>
      </c>
      <c r="AF4" s="15" t="n">
        <f aca="false">IF(IF(MONTH(AF2)&lt;=2,MOD(YEAR(AF2),4)=0,MOD(YEAR(AE3),4)=0),366,365)</f>
        <v>365</v>
      </c>
      <c r="AG4" s="15" t="n">
        <f aca="false">IF(IF(MONTH(AG2)&lt;=2,MOD(YEAR(AG2),4)=0,MOD(YEAR(AF3),4)=0),366,365)</f>
        <v>366</v>
      </c>
      <c r="AH4" s="15" t="n">
        <f aca="false">IF(IF(MONTH(AH2)&lt;=2,MOD(YEAR(AH2),4)=0,MOD(YEAR(AG3),4)=0),366,365)</f>
        <v>365</v>
      </c>
      <c r="AI4" s="15" t="n">
        <f aca="false">IF(IF(MONTH(AI2)&lt;=2,MOD(YEAR(AI2),4)=0,MOD(YEAR(AH3),4)=0),366,365)</f>
        <v>365</v>
      </c>
      <c r="AJ4" s="15" t="n">
        <f aca="false">IF(IF(MONTH(AJ2)&lt;=2,MOD(YEAR(AJ2),4)=0,MOD(YEAR(AI3),4)=0),366,365)</f>
        <v>365</v>
      </c>
      <c r="AK4" s="15" t="n">
        <f aca="false">IF(IF(MONTH(AK2)&lt;=2,MOD(YEAR(AK2),4)=0,MOD(YEAR(AJ3),4)=0),366,365)</f>
        <v>366</v>
      </c>
      <c r="AL4" s="15" t="n">
        <f aca="false">IF(IF(MONTH(AL2)&lt;=2,MOD(YEAR(AL2),4)=0,MOD(YEAR(AK3),4)=0),366,365)</f>
        <v>365</v>
      </c>
    </row>
    <row r="5" customFormat="false" ht="15" hidden="false" customHeight="false" outlineLevel="0" collapsed="false">
      <c r="E5" s="0"/>
      <c r="H5" s="0"/>
      <c r="I5" s="110"/>
      <c r="J5" s="110"/>
      <c r="K5" s="110"/>
      <c r="L5" s="110"/>
      <c r="M5" s="110"/>
    </row>
    <row r="6" customFormat="false" ht="15" hidden="false" customHeight="false" outlineLevel="1" collapsed="false">
      <c r="C6" s="0" t="s">
        <v>191</v>
      </c>
      <c r="E6" s="104" t="s">
        <v>192</v>
      </c>
      <c r="G6" s="0" t="n">
        <f aca="false">SUM(I6:AL6)</f>
        <v>1</v>
      </c>
      <c r="H6" s="0"/>
      <c r="I6" s="0" t="n">
        <f aca="false">1*(I1&lt;=Dev_Period)</f>
        <v>1</v>
      </c>
      <c r="J6" s="0" t="n">
        <f aca="false">1*(J1&lt;=Dev_Period)</f>
        <v>0</v>
      </c>
      <c r="K6" s="0" t="n">
        <f aca="false">1*(K1&lt;=Dev_Period)</f>
        <v>0</v>
      </c>
      <c r="L6" s="0" t="n">
        <f aca="false">1*(L1&lt;=Dev_Period)</f>
        <v>0</v>
      </c>
      <c r="M6" s="0" t="n">
        <f aca="false">1*(M1&lt;=Dev_Period)</f>
        <v>0</v>
      </c>
      <c r="N6" s="0" t="n">
        <f aca="false">1*(N1&lt;=Dev_Period)</f>
        <v>0</v>
      </c>
      <c r="O6" s="0" t="n">
        <f aca="false">1*(O1&lt;=Dev_Period)</f>
        <v>0</v>
      </c>
      <c r="P6" s="0" t="n">
        <f aca="false">1*(P1&lt;=Dev_Period)</f>
        <v>0</v>
      </c>
      <c r="Q6" s="0" t="n">
        <f aca="false">1*(Q1&lt;=Dev_Period)</f>
        <v>0</v>
      </c>
      <c r="R6" s="0" t="n">
        <f aca="false">1*(R1&lt;=Dev_Period)</f>
        <v>0</v>
      </c>
      <c r="S6" s="0" t="n">
        <f aca="false">1*(S1&lt;=Dev_Period)</f>
        <v>0</v>
      </c>
      <c r="T6" s="0" t="n">
        <f aca="false">1*(T1&lt;=Dev_Period)</f>
        <v>0</v>
      </c>
      <c r="U6" s="0" t="n">
        <f aca="false">1*(U1&lt;=Dev_Period)</f>
        <v>0</v>
      </c>
      <c r="V6" s="0" t="n">
        <f aca="false">1*(V1&lt;=Dev_Period)</f>
        <v>0</v>
      </c>
      <c r="W6" s="0" t="n">
        <f aca="false">1*(W1&lt;=Dev_Period)</f>
        <v>0</v>
      </c>
      <c r="X6" s="0" t="n">
        <f aca="false">1*(X1&lt;=Dev_Period)</f>
        <v>0</v>
      </c>
      <c r="Y6" s="0" t="n">
        <f aca="false">1*(Y1&lt;=Dev_Period)</f>
        <v>0</v>
      </c>
      <c r="Z6" s="0" t="n">
        <f aca="false">1*(Z1&lt;=Dev_Period)</f>
        <v>0</v>
      </c>
      <c r="AA6" s="0" t="n">
        <f aca="false">1*(AA1&lt;=Dev_Period)</f>
        <v>0</v>
      </c>
      <c r="AB6" s="0" t="n">
        <f aca="false">1*(AB1&lt;=Dev_Period)</f>
        <v>0</v>
      </c>
      <c r="AC6" s="0" t="n">
        <f aca="false">1*(AC1&lt;=Dev_Period)</f>
        <v>0</v>
      </c>
      <c r="AD6" s="0" t="n">
        <f aca="false">1*(AD1&lt;=Dev_Period)</f>
        <v>0</v>
      </c>
      <c r="AE6" s="0" t="n">
        <f aca="false">1*(AE1&lt;=Dev_Period)</f>
        <v>0</v>
      </c>
      <c r="AF6" s="0" t="n">
        <f aca="false">1*(AF1&lt;=Dev_Period)</f>
        <v>0</v>
      </c>
      <c r="AG6" s="0" t="n">
        <f aca="false">1*(AG1&lt;=Dev_Period)</f>
        <v>0</v>
      </c>
      <c r="AH6" s="0" t="n">
        <f aca="false">1*(AH1&lt;=Dev_Period)</f>
        <v>0</v>
      </c>
      <c r="AI6" s="0" t="n">
        <f aca="false">1*(AI1&lt;=Dev_Period)</f>
        <v>0</v>
      </c>
      <c r="AJ6" s="0" t="n">
        <f aca="false">1*(AJ1&lt;=Dev_Period)</f>
        <v>0</v>
      </c>
      <c r="AK6" s="0" t="n">
        <f aca="false">1*(AK1&lt;=Dev_Period)</f>
        <v>0</v>
      </c>
      <c r="AL6" s="0" t="n">
        <f aca="false">1*(AL1&lt;=Dev_Period)</f>
        <v>0</v>
      </c>
    </row>
    <row r="7" customFormat="false" ht="15" hidden="false" customHeight="false" outlineLevel="1" collapsed="false">
      <c r="C7" s="0" t="s">
        <v>193</v>
      </c>
      <c r="E7" s="104" t="s">
        <v>192</v>
      </c>
      <c r="G7" s="0" t="n">
        <f aca="false">SUM(I7:AL7)</f>
        <v>20</v>
      </c>
      <c r="H7" s="0"/>
      <c r="I7" s="0" t="n">
        <f aca="false">1*(I6=0)*((I1-Dev_Period)&lt;=PPA_duration)</f>
        <v>0</v>
      </c>
      <c r="J7" s="0" t="n">
        <f aca="false">1*(J6=0)*((J1-Dev_Period)&lt;=PPA_duration)</f>
        <v>1</v>
      </c>
      <c r="K7" s="0" t="n">
        <f aca="false">1*(K6=0)*((K1-Dev_Period)&lt;=PPA_duration)</f>
        <v>1</v>
      </c>
      <c r="L7" s="0" t="n">
        <f aca="false">1*(L6=0)*((L1-Dev_Period)&lt;=PPA_duration)</f>
        <v>1</v>
      </c>
      <c r="M7" s="0" t="n">
        <f aca="false">1*(M6=0)*((M1-Dev_Period)&lt;=PPA_duration)</f>
        <v>1</v>
      </c>
      <c r="N7" s="0" t="n">
        <f aca="false">1*(N6=0)*((N1-Dev_Period)&lt;=PPA_duration)</f>
        <v>1</v>
      </c>
      <c r="O7" s="0" t="n">
        <f aca="false">1*(O6=0)*((O1-Dev_Period)&lt;=PPA_duration)</f>
        <v>1</v>
      </c>
      <c r="P7" s="0" t="n">
        <f aca="false">1*(P6=0)*((P1-Dev_Period)&lt;=PPA_duration)</f>
        <v>1</v>
      </c>
      <c r="Q7" s="0" t="n">
        <f aca="false">1*(Q6=0)*((Q1-Dev_Period)&lt;=PPA_duration)</f>
        <v>1</v>
      </c>
      <c r="R7" s="0" t="n">
        <f aca="false">1*(R6=0)*((R1-Dev_Period)&lt;=PPA_duration)</f>
        <v>1</v>
      </c>
      <c r="S7" s="0" t="n">
        <f aca="false">1*(S6=0)*((S1-Dev_Period)&lt;=PPA_duration)</f>
        <v>1</v>
      </c>
      <c r="T7" s="0" t="n">
        <f aca="false">1*(T6=0)*((T1-Dev_Period)&lt;=PPA_duration)</f>
        <v>1</v>
      </c>
      <c r="U7" s="0" t="n">
        <f aca="false">1*(U6=0)*((U1-Dev_Period)&lt;=PPA_duration)</f>
        <v>1</v>
      </c>
      <c r="V7" s="0" t="n">
        <f aca="false">1*(V6=0)*((V1-Dev_Period)&lt;=PPA_duration)</f>
        <v>1</v>
      </c>
      <c r="W7" s="0" t="n">
        <f aca="false">1*(W6=0)*((W1-Dev_Period)&lt;=PPA_duration)</f>
        <v>1</v>
      </c>
      <c r="X7" s="0" t="n">
        <f aca="false">1*(X6=0)*((X1-Dev_Period)&lt;=PPA_duration)</f>
        <v>1</v>
      </c>
      <c r="Y7" s="0" t="n">
        <f aca="false">1*(Y6=0)*((Y1-Dev_Period)&lt;=PPA_duration)</f>
        <v>1</v>
      </c>
      <c r="Z7" s="0" t="n">
        <f aca="false">1*(Z6=0)*((Z1-Dev_Period)&lt;=PPA_duration)</f>
        <v>1</v>
      </c>
      <c r="AA7" s="0" t="n">
        <f aca="false">1*(AA6=0)*((AA1-Dev_Period)&lt;=PPA_duration)</f>
        <v>1</v>
      </c>
      <c r="AB7" s="0" t="n">
        <f aca="false">1*(AB6=0)*((AB1-Dev_Period)&lt;=PPA_duration)</f>
        <v>1</v>
      </c>
      <c r="AC7" s="0" t="n">
        <f aca="false">1*(AC6=0)*((AC1-Dev_Period)&lt;=PPA_duration)</f>
        <v>1</v>
      </c>
      <c r="AD7" s="0" t="n">
        <f aca="false">1*(AD6=0)*((AD1-Dev_Period)&lt;=PPA_duration)</f>
        <v>0</v>
      </c>
      <c r="AE7" s="0" t="n">
        <f aca="false">1*(AE6=0)*((AE1-Dev_Period)&lt;=PPA_duration)</f>
        <v>0</v>
      </c>
      <c r="AF7" s="0" t="n">
        <f aca="false">1*(AF6=0)*((AF1-Dev_Period)&lt;=PPA_duration)</f>
        <v>0</v>
      </c>
      <c r="AG7" s="0" t="n">
        <f aca="false">1*(AG6=0)*((AG1-Dev_Period)&lt;=PPA_duration)</f>
        <v>0</v>
      </c>
      <c r="AH7" s="0" t="n">
        <f aca="false">1*(AH6=0)*((AH1-Dev_Period)&lt;=PPA_duration)</f>
        <v>0</v>
      </c>
      <c r="AI7" s="0" t="n">
        <f aca="false">1*(AI6=0)*((AI1-Dev_Period)&lt;=PPA_duration)</f>
        <v>0</v>
      </c>
      <c r="AJ7" s="0" t="n">
        <f aca="false">1*(AJ6=0)*((AJ1-Dev_Period)&lt;=PPA_duration)</f>
        <v>0</v>
      </c>
      <c r="AK7" s="0" t="n">
        <f aca="false">1*(AK6=0)*((AK1-Dev_Period)&lt;=PPA_duration)</f>
        <v>0</v>
      </c>
      <c r="AL7" s="0" t="n">
        <f aca="false">1*(AL6=0)*((AL1-Dev_Period)&lt;=PPA_duration)</f>
        <v>0</v>
      </c>
    </row>
    <row r="8" customFormat="false" ht="15" hidden="false" customHeight="false" outlineLevel="1" collapsed="false">
      <c r="C8" s="0" t="s">
        <v>194</v>
      </c>
      <c r="E8" s="104" t="s">
        <v>195</v>
      </c>
      <c r="H8" s="0"/>
      <c r="I8" s="0" t="n">
        <f aca="false">SUM($I$7:I7)*I7</f>
        <v>0</v>
      </c>
      <c r="J8" s="0" t="n">
        <f aca="false">SUM($I$7:J7)*J7</f>
        <v>1</v>
      </c>
      <c r="K8" s="0" t="n">
        <f aca="false">SUM($I$7:K7)*K7</f>
        <v>2</v>
      </c>
      <c r="L8" s="0" t="n">
        <f aca="false">SUM($I$7:L7)*L7</f>
        <v>3</v>
      </c>
      <c r="M8" s="0" t="n">
        <f aca="false">SUM($I$7:M7)*M7</f>
        <v>4</v>
      </c>
      <c r="N8" s="0" t="n">
        <f aca="false">SUM($I$7:N7)*N7</f>
        <v>5</v>
      </c>
      <c r="O8" s="0" t="n">
        <f aca="false">SUM($I$7:O7)*O7</f>
        <v>6</v>
      </c>
      <c r="P8" s="0" t="n">
        <f aca="false">SUM($I$7:P7)*P7</f>
        <v>7</v>
      </c>
      <c r="Q8" s="0" t="n">
        <f aca="false">SUM($I$7:Q7)*Q7</f>
        <v>8</v>
      </c>
      <c r="R8" s="0" t="n">
        <f aca="false">SUM($I$7:R7)*R7</f>
        <v>9</v>
      </c>
      <c r="S8" s="0" t="n">
        <f aca="false">SUM($I$7:S7)*S7</f>
        <v>10</v>
      </c>
      <c r="T8" s="0" t="n">
        <f aca="false">SUM($I$7:T7)*T7</f>
        <v>11</v>
      </c>
      <c r="U8" s="0" t="n">
        <f aca="false">SUM($I$7:U7)*U7</f>
        <v>12</v>
      </c>
      <c r="V8" s="0" t="n">
        <f aca="false">SUM($I$7:V7)*V7</f>
        <v>13</v>
      </c>
      <c r="W8" s="0" t="n">
        <f aca="false">SUM($I$7:W7)*W7</f>
        <v>14</v>
      </c>
      <c r="X8" s="0" t="n">
        <f aca="false">SUM($I$7:X7)*X7</f>
        <v>15</v>
      </c>
      <c r="Y8" s="0" t="n">
        <f aca="false">SUM($I$7:Y7)*Y7</f>
        <v>16</v>
      </c>
      <c r="Z8" s="0" t="n">
        <f aca="false">SUM($I$7:Z7)*Z7</f>
        <v>17</v>
      </c>
      <c r="AA8" s="0" t="n">
        <f aca="false">SUM($I$7:AA7)*AA7</f>
        <v>18</v>
      </c>
      <c r="AB8" s="0" t="n">
        <f aca="false">SUM($I$7:AB7)*AB7</f>
        <v>19</v>
      </c>
      <c r="AC8" s="0" t="n">
        <f aca="false">SUM($I$7:AC7)*AC7</f>
        <v>20</v>
      </c>
      <c r="AD8" s="0" t="n">
        <f aca="false">SUM($I$7:AD7)*AD7</f>
        <v>0</v>
      </c>
      <c r="AE8" s="0" t="n">
        <f aca="false">SUM($I$7:AE7)*AE7</f>
        <v>0</v>
      </c>
      <c r="AF8" s="0" t="n">
        <f aca="false">SUM($I$7:AF7)*AF7</f>
        <v>0</v>
      </c>
      <c r="AG8" s="0" t="n">
        <f aca="false">SUM($I$7:AG7)*AG7</f>
        <v>0</v>
      </c>
      <c r="AH8" s="0" t="n">
        <f aca="false">SUM($I$7:AH7)*AH7</f>
        <v>0</v>
      </c>
      <c r="AI8" s="0" t="n">
        <f aca="false">SUM($I$7:AI7)*AI7</f>
        <v>0</v>
      </c>
      <c r="AJ8" s="0" t="n">
        <f aca="false">SUM($I$7:AJ7)*AJ7</f>
        <v>0</v>
      </c>
      <c r="AK8" s="0" t="n">
        <f aca="false">SUM($I$7:AK7)*AK7</f>
        <v>0</v>
      </c>
      <c r="AL8" s="0" t="n">
        <f aca="false">SUM($I$7:AL7)*AL7</f>
        <v>0</v>
      </c>
    </row>
    <row r="9" customFormat="false" ht="15" hidden="false" customHeight="false" outlineLevel="1" collapsed="false">
      <c r="C9" s="0" t="s">
        <v>196</v>
      </c>
      <c r="E9" s="104" t="s">
        <v>192</v>
      </c>
      <c r="H9" s="0"/>
      <c r="I9" s="0" t="n">
        <f aca="false">1*(I1=Dev_Period)</f>
        <v>1</v>
      </c>
      <c r="J9" s="0" t="n">
        <f aca="false">1*(J1=Dev_Period)</f>
        <v>0</v>
      </c>
      <c r="K9" s="0" t="n">
        <f aca="false">1*(K1=Dev_Period)</f>
        <v>0</v>
      </c>
      <c r="L9" s="0" t="n">
        <f aca="false">1*(L1=Dev_Period)</f>
        <v>0</v>
      </c>
      <c r="M9" s="0" t="n">
        <f aca="false">1*(M1=Dev_Period)</f>
        <v>0</v>
      </c>
      <c r="N9" s="0" t="n">
        <f aca="false">1*(N1=Dev_Period)</f>
        <v>0</v>
      </c>
      <c r="O9" s="0" t="n">
        <f aca="false">1*(O1=Dev_Period)</f>
        <v>0</v>
      </c>
      <c r="P9" s="0" t="n">
        <f aca="false">1*(P1=Dev_Period)</f>
        <v>0</v>
      </c>
      <c r="Q9" s="0" t="n">
        <f aca="false">1*(Q1=Dev_Period)</f>
        <v>0</v>
      </c>
      <c r="R9" s="0" t="n">
        <f aca="false">1*(R1=Dev_Period)</f>
        <v>0</v>
      </c>
      <c r="S9" s="0" t="n">
        <f aca="false">1*(S1=Dev_Period)</f>
        <v>0</v>
      </c>
      <c r="T9" s="0" t="n">
        <f aca="false">1*(T1=Dev_Period)</f>
        <v>0</v>
      </c>
      <c r="U9" s="0" t="n">
        <f aca="false">1*(U1=Dev_Period)</f>
        <v>0</v>
      </c>
      <c r="V9" s="0" t="n">
        <f aca="false">1*(V1=Dev_Period)</f>
        <v>0</v>
      </c>
      <c r="W9" s="0" t="n">
        <f aca="false">1*(W1=Dev_Period)</f>
        <v>0</v>
      </c>
      <c r="X9" s="0" t="n">
        <f aca="false">1*(X1=Dev_Period)</f>
        <v>0</v>
      </c>
      <c r="Y9" s="0" t="n">
        <f aca="false">1*(Y1=Dev_Period)</f>
        <v>0</v>
      </c>
      <c r="Z9" s="0" t="n">
        <f aca="false">1*(Z1=Dev_Period)</f>
        <v>0</v>
      </c>
      <c r="AA9" s="0" t="n">
        <f aca="false">1*(AA1=Dev_Period)</f>
        <v>0</v>
      </c>
      <c r="AB9" s="0" t="n">
        <f aca="false">1*(AB1=Dev_Period)</f>
        <v>0</v>
      </c>
      <c r="AC9" s="0" t="n">
        <f aca="false">1*(AC1=Dev_Period)</f>
        <v>0</v>
      </c>
      <c r="AD9" s="0" t="n">
        <f aca="false">1*(AD1=Dev_Period)</f>
        <v>0</v>
      </c>
      <c r="AE9" s="0" t="n">
        <f aca="false">1*(AE1=Dev_Period)</f>
        <v>0</v>
      </c>
      <c r="AF9" s="0" t="n">
        <f aca="false">1*(AF1=Dev_Period)</f>
        <v>0</v>
      </c>
      <c r="AG9" s="0" t="n">
        <f aca="false">1*(AG1=Dev_Period)</f>
        <v>0</v>
      </c>
      <c r="AH9" s="0" t="n">
        <f aca="false">1*(AH1=Dev_Period)</f>
        <v>0</v>
      </c>
      <c r="AI9" s="0" t="n">
        <f aca="false">1*(AI1=Dev_Period)</f>
        <v>0</v>
      </c>
      <c r="AJ9" s="0" t="n">
        <f aca="false">1*(AJ1=Dev_Period)</f>
        <v>0</v>
      </c>
      <c r="AK9" s="0" t="n">
        <f aca="false">1*(AK1=Dev_Period)</f>
        <v>0</v>
      </c>
      <c r="AL9" s="0" t="n">
        <f aca="false">1*(AL1=Dev_Period)</f>
        <v>0</v>
      </c>
    </row>
    <row r="10" customFormat="false" ht="15" hidden="false" customHeight="false" outlineLevel="1" collapsed="false">
      <c r="C10" s="0" t="s">
        <v>197</v>
      </c>
      <c r="E10" s="104" t="s">
        <v>198</v>
      </c>
      <c r="H10" s="0"/>
      <c r="I10" s="111" t="n">
        <v>1</v>
      </c>
      <c r="J10" s="111" t="n">
        <f aca="false">$I10*(1+OPEX_Inflation)^(J$1-$I$1)</f>
        <v>1.03</v>
      </c>
      <c r="K10" s="111" t="n">
        <f aca="false">$I10*(1+OPEX_Inflation)^(K$1-$I$1)</f>
        <v>1.0609</v>
      </c>
      <c r="L10" s="111" t="n">
        <f aca="false">$I10*(1+OPEX_Inflation)^(L$1-$I$1)</f>
        <v>1.092727</v>
      </c>
      <c r="M10" s="111" t="n">
        <f aca="false">$I10*(1+OPEX_Inflation)^(M$1-$I$1)</f>
        <v>1.12550881</v>
      </c>
      <c r="N10" s="111" t="n">
        <f aca="false">$I10*(1+OPEX_Inflation)^(N$1-$I$1)</f>
        <v>1.1592740743</v>
      </c>
      <c r="O10" s="111" t="n">
        <f aca="false">$I10*(1+OPEX_Inflation)^(O$1-$I$1)</f>
        <v>1.194052296529</v>
      </c>
      <c r="P10" s="111" t="n">
        <f aca="false">$I10*(1+OPEX_Inflation)^(P$1-$I$1)</f>
        <v>1.22987386542487</v>
      </c>
      <c r="Q10" s="111" t="n">
        <f aca="false">$I10*(1+OPEX_Inflation)^(Q$1-$I$1)</f>
        <v>1.26677008138762</v>
      </c>
      <c r="R10" s="111" t="n">
        <f aca="false">$I10*(1+OPEX_Inflation)^(R$1-$I$1)</f>
        <v>1.30477318382925</v>
      </c>
      <c r="S10" s="111" t="n">
        <f aca="false">$I10*(1+OPEX_Inflation)^(S$1-$I$1)</f>
        <v>1.34391637934412</v>
      </c>
      <c r="T10" s="111" t="n">
        <f aca="false">$I10*(1+OPEX_Inflation)^(T$1-$I$1)</f>
        <v>1.38423387072445</v>
      </c>
      <c r="U10" s="111" t="n">
        <f aca="false">$I10*(1+OPEX_Inflation)^(U$1-$I$1)</f>
        <v>1.42576088684618</v>
      </c>
      <c r="V10" s="111" t="n">
        <f aca="false">$I10*(1+OPEX_Inflation)^(V$1-$I$1)</f>
        <v>1.46853371345156</v>
      </c>
      <c r="W10" s="111" t="n">
        <f aca="false">$I10*(1+OPEX_Inflation)^(W$1-$I$1)</f>
        <v>1.51258972485511</v>
      </c>
      <c r="X10" s="111" t="n">
        <f aca="false">$I10*(1+OPEX_Inflation)^(X$1-$I$1)</f>
        <v>1.55796741660077</v>
      </c>
      <c r="Y10" s="111" t="n">
        <f aca="false">$I10*(1+OPEX_Inflation)^(Y$1-$I$1)</f>
        <v>1.60470643909879</v>
      </c>
      <c r="Z10" s="111" t="n">
        <f aca="false">$I10*(1+OPEX_Inflation)^(Z$1-$I$1)</f>
        <v>1.65284763227175</v>
      </c>
      <c r="AA10" s="111" t="n">
        <f aca="false">$I10*(1+OPEX_Inflation)^(AA$1-$I$1)</f>
        <v>1.7024330612399</v>
      </c>
      <c r="AB10" s="111" t="n">
        <f aca="false">$I10*(1+OPEX_Inflation)^(AB$1-$I$1)</f>
        <v>1.7535060530771</v>
      </c>
      <c r="AC10" s="111" t="n">
        <f aca="false">$I10*(1+OPEX_Inflation)^(AC$1-$I$1)</f>
        <v>1.80611123466941</v>
      </c>
      <c r="AD10" s="111" t="n">
        <f aca="false">$I10*(1+OPEX_Inflation)^(AD$1-$I$1)</f>
        <v>1.8602945717095</v>
      </c>
      <c r="AE10" s="111" t="n">
        <f aca="false">$I10*(1+OPEX_Inflation)^(AE$1-$I$1)</f>
        <v>1.91610340886078</v>
      </c>
      <c r="AF10" s="111" t="n">
        <f aca="false">$I10*(1+OPEX_Inflation)^(AF$1-$I$1)</f>
        <v>1.97358651112661</v>
      </c>
      <c r="AG10" s="111" t="n">
        <f aca="false">$I10*(1+OPEX_Inflation)^(AG$1-$I$1)</f>
        <v>2.0327941064604</v>
      </c>
      <c r="AH10" s="111" t="n">
        <f aca="false">$I10*(1+OPEX_Inflation)^(AH$1-$I$1)</f>
        <v>2.09377792965422</v>
      </c>
      <c r="AI10" s="111" t="n">
        <f aca="false">$I10*(1+OPEX_Inflation)^(AI$1-$I$1)</f>
        <v>2.15659126754384</v>
      </c>
      <c r="AJ10" s="111" t="n">
        <f aca="false">$I10*(1+OPEX_Inflation)^(AJ$1-$I$1)</f>
        <v>2.22128900557016</v>
      </c>
      <c r="AK10" s="111" t="n">
        <f aca="false">$I10*(1+OPEX_Inflation)^(AK$1-$I$1)</f>
        <v>2.28792767573726</v>
      </c>
      <c r="AL10" s="111" t="n">
        <f aca="false">$I10*(1+OPEX_Inflation)^(AL$1-$I$1)</f>
        <v>2.35656550600938</v>
      </c>
    </row>
    <row r="11" customFormat="false" ht="15" hidden="false" customHeight="false" outlineLevel="1" collapsed="false">
      <c r="C11" s="0" t="s">
        <v>199</v>
      </c>
      <c r="E11" s="104" t="s">
        <v>198</v>
      </c>
      <c r="H11" s="0"/>
      <c r="I11" s="111" t="n">
        <v>1</v>
      </c>
      <c r="J11" s="111" t="n">
        <f aca="false">$I11*(1+Tariff_Escalation)^(J$8-$I$1)</f>
        <v>1</v>
      </c>
      <c r="K11" s="111" t="n">
        <f aca="false">$I11*(1+Tariff_Escalation)^(K$8-$I$1)</f>
        <v>1</v>
      </c>
      <c r="L11" s="111" t="n">
        <f aca="false">$I11*(1+Tariff_Escalation)^(L$8-$I$1)</f>
        <v>1</v>
      </c>
      <c r="M11" s="111" t="n">
        <f aca="false">$I11*(1+Tariff_Escalation)^(M$8-$I$1)</f>
        <v>1</v>
      </c>
      <c r="N11" s="111" t="n">
        <f aca="false">$I11*(1+Tariff_Escalation)^(N$8-$I$1)</f>
        <v>1</v>
      </c>
      <c r="O11" s="111" t="n">
        <f aca="false">$I11*(1+Tariff_Escalation)^(O$8-$I$1)</f>
        <v>1</v>
      </c>
      <c r="P11" s="111" t="n">
        <f aca="false">$I11*(1+Tariff_Escalation)^(P$8-$I$1)</f>
        <v>1</v>
      </c>
      <c r="Q11" s="111" t="n">
        <f aca="false">$I11*(1+Tariff_Escalation)^(Q$8-$I$1)</f>
        <v>1</v>
      </c>
      <c r="R11" s="111" t="n">
        <f aca="false">$I11*(1+Tariff_Escalation)^(R$8-$I$1)</f>
        <v>1</v>
      </c>
      <c r="S11" s="111" t="n">
        <f aca="false">$I11*(1+Tariff_Escalation)^(S$8-$I$1)</f>
        <v>1</v>
      </c>
      <c r="T11" s="111" t="n">
        <f aca="false">$I11*(1+Tariff_Escalation)^(T$8-$I$1)</f>
        <v>1</v>
      </c>
      <c r="U11" s="111" t="n">
        <f aca="false">$I11*(1+Tariff_Escalation)^(U$8-$I$1)</f>
        <v>1</v>
      </c>
      <c r="V11" s="111" t="n">
        <f aca="false">$I11*(1+Tariff_Escalation)^(V$8-$I$1)</f>
        <v>1</v>
      </c>
      <c r="W11" s="111" t="n">
        <f aca="false">$I11*(1+Tariff_Escalation)^(W$8-$I$1)</f>
        <v>1</v>
      </c>
      <c r="X11" s="111" t="n">
        <f aca="false">$I11*(1+Tariff_Escalation)^(X$8-$I$1)</f>
        <v>1</v>
      </c>
      <c r="Y11" s="111" t="n">
        <f aca="false">$I11*(1+Tariff_Escalation)^(Y$8-$I$1)</f>
        <v>1</v>
      </c>
      <c r="Z11" s="111" t="n">
        <f aca="false">$I11*(1+Tariff_Escalation)^(Z$8-$I$1)</f>
        <v>1</v>
      </c>
      <c r="AA11" s="111" t="n">
        <f aca="false">$I11*(1+Tariff_Escalation)^(AA$8-$I$1)</f>
        <v>1</v>
      </c>
      <c r="AB11" s="111" t="n">
        <f aca="false">$I11*(1+Tariff_Escalation)^(AB$8-$I$1)</f>
        <v>1</v>
      </c>
      <c r="AC11" s="111" t="n">
        <f aca="false">$I11*(1+Tariff_Escalation)^(AC$8-$I$1)</f>
        <v>1</v>
      </c>
      <c r="AD11" s="111" t="n">
        <f aca="false">$I11*(1+Tariff_Escalation)^(AD$8-$I$1)</f>
        <v>1</v>
      </c>
      <c r="AE11" s="111" t="n">
        <f aca="false">$I11*(1+Tariff_Escalation)^(AE$8-$I$1)</f>
        <v>1</v>
      </c>
      <c r="AF11" s="111" t="n">
        <f aca="false">$I11*(1+Tariff_Escalation)^(AF$8-$I$1)</f>
        <v>1</v>
      </c>
      <c r="AG11" s="111" t="n">
        <f aca="false">$I11*(1+Tariff_Escalation)^(AG$8-$I$1)</f>
        <v>1</v>
      </c>
      <c r="AH11" s="111" t="n">
        <f aca="false">$I11*(1+Tariff_Escalation)^(AH$8-$I$1)</f>
        <v>1</v>
      </c>
      <c r="AI11" s="111" t="n">
        <f aca="false">$I11*(1+Tariff_Escalation)^(AI$8-$I$1)</f>
        <v>1</v>
      </c>
      <c r="AJ11" s="111" t="n">
        <f aca="false">$I11*(1+Tariff_Escalation)^(AJ$8-$I$1)</f>
        <v>1</v>
      </c>
      <c r="AK11" s="111" t="n">
        <f aca="false">$I11*(1+Tariff_Escalation)^(AK$8-$I$1)</f>
        <v>1</v>
      </c>
      <c r="AL11" s="111" t="n">
        <f aca="false">$I11*(1+Tariff_Escalation)^(AL$8-$I$1)</f>
        <v>1</v>
      </c>
    </row>
    <row r="12" customFormat="false" ht="15" hidden="false" customHeight="false" outlineLevel="1" collapsed="false">
      <c r="C12" s="0" t="s">
        <v>200</v>
      </c>
      <c r="E12" s="104" t="s">
        <v>198</v>
      </c>
      <c r="H12" s="0"/>
      <c r="I12" s="111" t="n">
        <v>1</v>
      </c>
      <c r="J12" s="111" t="n">
        <f aca="false">$I12*(1+Tariff_Discount)^(J$8)</f>
        <v>1.12</v>
      </c>
      <c r="K12" s="111" t="n">
        <f aca="false">$I12*(1+Tariff_Discount)^(K$8)</f>
        <v>1.2544</v>
      </c>
      <c r="L12" s="111" t="n">
        <f aca="false">$I12*(1+Tariff_Discount)^(L$8)</f>
        <v>1.404928</v>
      </c>
      <c r="M12" s="111" t="n">
        <f aca="false">$I12*(1+Tariff_Discount)^(M$8)</f>
        <v>1.57351936</v>
      </c>
      <c r="N12" s="111" t="n">
        <f aca="false">$I12*(1+Tariff_Discount)^(N$8)</f>
        <v>1.7623416832</v>
      </c>
      <c r="O12" s="111" t="n">
        <f aca="false">$I12*(1+Tariff_Discount)^(O$8)</f>
        <v>1.973822685184</v>
      </c>
      <c r="P12" s="111" t="n">
        <f aca="false">$I12*(1+Tariff_Discount)^(P$8)</f>
        <v>2.21068140740608</v>
      </c>
      <c r="Q12" s="111" t="n">
        <f aca="false">$I12*(1+Tariff_Discount)^(Q$8)</f>
        <v>2.47596317629481</v>
      </c>
      <c r="R12" s="111" t="n">
        <f aca="false">$I12*(1+Tariff_Discount)^(R$8)</f>
        <v>2.77307875745019</v>
      </c>
      <c r="S12" s="111" t="n">
        <f aca="false">$I12*(1+Tariff_Discount)^(S$8)</f>
        <v>3.10584820834421</v>
      </c>
      <c r="T12" s="111" t="n">
        <f aca="false">$I12*(1+Tariff_Discount)^(T$8)</f>
        <v>3.47854999334552</v>
      </c>
      <c r="U12" s="111" t="n">
        <f aca="false">$I12*(1+Tariff_Discount)^(U$8)</f>
        <v>3.89597599254698</v>
      </c>
      <c r="V12" s="111" t="n">
        <f aca="false">$I12*(1+Tariff_Discount)^(V$8)</f>
        <v>4.36349311165262</v>
      </c>
      <c r="W12" s="111" t="n">
        <f aca="false">$I12*(1+Tariff_Discount)^(W$8)</f>
        <v>4.88711228505093</v>
      </c>
      <c r="X12" s="111" t="n">
        <f aca="false">$I12*(1+Tariff_Discount)^(X$8)</f>
        <v>5.47356575925705</v>
      </c>
      <c r="Y12" s="111" t="n">
        <f aca="false">$I12*(1+Tariff_Discount)^(Y$8)</f>
        <v>6.13039365036789</v>
      </c>
      <c r="Z12" s="111" t="n">
        <f aca="false">$I12*(1+Tariff_Discount)^(Z$8)</f>
        <v>6.86604088841204</v>
      </c>
      <c r="AA12" s="111" t="n">
        <f aca="false">$I12*(1+Tariff_Discount)^(AA$8)</f>
        <v>7.68996579502149</v>
      </c>
      <c r="AB12" s="111" t="n">
        <f aca="false">$I12*(1+Tariff_Discount)^(AB$8)</f>
        <v>8.61276169042406</v>
      </c>
      <c r="AC12" s="111" t="n">
        <f aca="false">$I12*(1+Tariff_Discount)^(AC$8)</f>
        <v>9.64629309327495</v>
      </c>
      <c r="AD12" s="111" t="n">
        <f aca="false">$I12*(1+Tariff_Discount)^(AD$8)</f>
        <v>1</v>
      </c>
      <c r="AE12" s="111" t="n">
        <f aca="false">$I12*(1+Tariff_Discount)^(AE$8)</f>
        <v>1</v>
      </c>
      <c r="AF12" s="111" t="n">
        <f aca="false">$I12*(1+Tariff_Discount)^(AF$8)</f>
        <v>1</v>
      </c>
      <c r="AG12" s="111" t="n">
        <f aca="false">$I12*(1+Tariff_Discount)^(AG$8)</f>
        <v>1</v>
      </c>
      <c r="AH12" s="111" t="n">
        <f aca="false">$I12*(1+Tariff_Discount)^(AH$8)</f>
        <v>1</v>
      </c>
      <c r="AI12" s="111" t="n">
        <f aca="false">$I12*(1+Tariff_Discount)^(AI$8)</f>
        <v>1</v>
      </c>
      <c r="AJ12" s="111" t="n">
        <f aca="false">$I12*(1+Tariff_Discount)^(AJ$8)</f>
        <v>1</v>
      </c>
      <c r="AK12" s="111" t="n">
        <f aca="false">$I12*(1+Tariff_Discount)^(AK$8)</f>
        <v>1</v>
      </c>
      <c r="AL12" s="111" t="n">
        <f aca="false">$I12*(1+Tariff_Discount)^(AL$8)</f>
        <v>1</v>
      </c>
    </row>
    <row r="13" customFormat="false" ht="15" hidden="false" customHeight="false" outlineLevel="1" collapsed="false">
      <c r="C13" s="0" t="s">
        <v>201</v>
      </c>
      <c r="E13" s="104" t="s">
        <v>198</v>
      </c>
      <c r="H13" s="0"/>
      <c r="I13" s="111" t="n">
        <f aca="false">I11/I12</f>
        <v>1</v>
      </c>
      <c r="J13" s="111" t="n">
        <f aca="false">J11/J12</f>
        <v>0.892857142857143</v>
      </c>
      <c r="K13" s="111" t="n">
        <f aca="false">K11/K12</f>
        <v>0.79719387755102</v>
      </c>
      <c r="L13" s="111" t="n">
        <f aca="false">L11/L12</f>
        <v>0.711780247813411</v>
      </c>
      <c r="M13" s="111" t="n">
        <f aca="false">M11/M12</f>
        <v>0.635518078404831</v>
      </c>
      <c r="N13" s="111" t="n">
        <f aca="false">N11/N12</f>
        <v>0.567426855718599</v>
      </c>
      <c r="O13" s="111" t="n">
        <f aca="false">O11/O12</f>
        <v>0.506631121177321</v>
      </c>
      <c r="P13" s="111" t="n">
        <f aca="false">P11/P12</f>
        <v>0.452349215336893</v>
      </c>
      <c r="Q13" s="111" t="n">
        <f aca="false">Q11/Q12</f>
        <v>0.403883227979369</v>
      </c>
      <c r="R13" s="111" t="n">
        <f aca="false">R11/R12</f>
        <v>0.360610024981579</v>
      </c>
      <c r="S13" s="111" t="n">
        <f aca="false">S11/S12</f>
        <v>0.321973236590696</v>
      </c>
      <c r="T13" s="111" t="n">
        <f aca="false">T11/T12</f>
        <v>0.287476104098836</v>
      </c>
      <c r="U13" s="111" t="n">
        <f aca="false">U11/U12</f>
        <v>0.256675092945389</v>
      </c>
      <c r="V13" s="111" t="n">
        <f aca="false">V11/V12</f>
        <v>0.229174190129811</v>
      </c>
      <c r="W13" s="111" t="n">
        <f aca="false">W11/W12</f>
        <v>0.204619812615903</v>
      </c>
      <c r="X13" s="111" t="n">
        <f aca="false">X11/X12</f>
        <v>0.182696261264199</v>
      </c>
      <c r="Y13" s="111" t="n">
        <f aca="false">Y11/Y12</f>
        <v>0.163121661843035</v>
      </c>
      <c r="Z13" s="111" t="n">
        <f aca="false">Z11/Z12</f>
        <v>0.145644340931281</v>
      </c>
      <c r="AA13" s="111" t="n">
        <f aca="false">AA11/AA12</f>
        <v>0.130039590117215</v>
      </c>
      <c r="AB13" s="111" t="n">
        <f aca="false">AB11/AB12</f>
        <v>0.116106776890371</v>
      </c>
      <c r="AC13" s="111" t="n">
        <f aca="false">AC11/AC12</f>
        <v>0.103666765080688</v>
      </c>
      <c r="AD13" s="111" t="n">
        <f aca="false">AD11/AD12</f>
        <v>1</v>
      </c>
      <c r="AE13" s="111" t="n">
        <f aca="false">AE11/AE12</f>
        <v>1</v>
      </c>
      <c r="AF13" s="111" t="n">
        <f aca="false">AF11/AF12</f>
        <v>1</v>
      </c>
      <c r="AG13" s="111" t="n">
        <f aca="false">AG11/AG12</f>
        <v>1</v>
      </c>
      <c r="AH13" s="111" t="n">
        <f aca="false">AH11/AH12</f>
        <v>1</v>
      </c>
      <c r="AI13" s="111" t="n">
        <f aca="false">AI11/AI12</f>
        <v>1</v>
      </c>
      <c r="AJ13" s="111" t="n">
        <f aca="false">AJ11/AJ12</f>
        <v>1</v>
      </c>
      <c r="AK13" s="111" t="n">
        <f aca="false">AK11/AK12</f>
        <v>1</v>
      </c>
      <c r="AL13" s="111" t="n">
        <f aca="false">AL11/AL12</f>
        <v>1</v>
      </c>
    </row>
    <row r="14" customFormat="false" ht="15" hidden="false" customHeight="false" outlineLevel="1" collapsed="false">
      <c r="C14" s="0" t="s">
        <v>202</v>
      </c>
      <c r="E14" s="104" t="s">
        <v>192</v>
      </c>
      <c r="H14" s="0"/>
      <c r="I14" s="0" t="n">
        <f aca="false">1*(I8=PPA_duration)</f>
        <v>0</v>
      </c>
      <c r="J14" s="0" t="n">
        <f aca="false">1*(J8=PPA_duration)</f>
        <v>0</v>
      </c>
      <c r="K14" s="0" t="n">
        <f aca="false">1*(K8=PPA_duration)</f>
        <v>0</v>
      </c>
      <c r="L14" s="0" t="n">
        <f aca="false">1*(L8=PPA_duration)</f>
        <v>0</v>
      </c>
      <c r="M14" s="0" t="n">
        <f aca="false">1*(M8=PPA_duration)</f>
        <v>0</v>
      </c>
      <c r="N14" s="0" t="n">
        <f aca="false">1*(N8=PPA_duration)</f>
        <v>0</v>
      </c>
      <c r="O14" s="0" t="n">
        <f aca="false">1*(O8=PPA_duration)</f>
        <v>0</v>
      </c>
      <c r="P14" s="0" t="n">
        <f aca="false">1*(P8=PPA_duration)</f>
        <v>0</v>
      </c>
      <c r="Q14" s="0" t="n">
        <f aca="false">1*(Q8=PPA_duration)</f>
        <v>0</v>
      </c>
      <c r="R14" s="0" t="n">
        <f aca="false">1*(R8=PPA_duration)</f>
        <v>0</v>
      </c>
      <c r="S14" s="0" t="n">
        <f aca="false">1*(S8=PPA_duration)</f>
        <v>0</v>
      </c>
      <c r="T14" s="0" t="n">
        <f aca="false">1*(T8=PPA_duration)</f>
        <v>0</v>
      </c>
      <c r="U14" s="0" t="n">
        <f aca="false">1*(U8=PPA_duration)</f>
        <v>0</v>
      </c>
      <c r="V14" s="0" t="n">
        <f aca="false">1*(V8=PPA_duration)</f>
        <v>0</v>
      </c>
      <c r="W14" s="0" t="n">
        <f aca="false">1*(W8=PPA_duration)</f>
        <v>0</v>
      </c>
      <c r="X14" s="0" t="n">
        <f aca="false">1*(X8=PPA_duration)</f>
        <v>0</v>
      </c>
      <c r="Y14" s="0" t="n">
        <f aca="false">1*(Y8=PPA_duration)</f>
        <v>0</v>
      </c>
      <c r="Z14" s="0" t="n">
        <f aca="false">1*(Z8=PPA_duration)</f>
        <v>0</v>
      </c>
      <c r="AA14" s="0" t="n">
        <f aca="false">1*(AA8=PPA_duration)</f>
        <v>0</v>
      </c>
      <c r="AB14" s="0" t="n">
        <f aca="false">1*(AB8=PPA_duration)</f>
        <v>0</v>
      </c>
      <c r="AC14" s="0" t="n">
        <f aca="false">1*(AC8=PPA_duration)</f>
        <v>1</v>
      </c>
      <c r="AD14" s="0" t="n">
        <f aca="false">1*(AD8=PPA_duration)</f>
        <v>0</v>
      </c>
      <c r="AE14" s="0" t="n">
        <f aca="false">1*(AE8=PPA_duration)</f>
        <v>0</v>
      </c>
      <c r="AF14" s="0" t="n">
        <f aca="false">1*(AF8=PPA_duration)</f>
        <v>0</v>
      </c>
      <c r="AG14" s="0" t="n">
        <f aca="false">1*(AG8=PPA_duration)</f>
        <v>0</v>
      </c>
      <c r="AH14" s="0" t="n">
        <f aca="false">1*(AH8=PPA_duration)</f>
        <v>0</v>
      </c>
      <c r="AI14" s="0" t="n">
        <f aca="false">1*(AI8=PPA_duration)</f>
        <v>0</v>
      </c>
      <c r="AJ14" s="0" t="n">
        <f aca="false">1*(AJ8=PPA_duration)</f>
        <v>0</v>
      </c>
      <c r="AK14" s="0" t="n">
        <f aca="false">1*(AK8=PPA_duration)</f>
        <v>0</v>
      </c>
      <c r="AL14" s="0" t="n">
        <f aca="false">1*(AL8=PPA_duration)</f>
        <v>0</v>
      </c>
    </row>
    <row r="15" customFormat="false" ht="15" hidden="false" customHeight="false" outlineLevel="1" collapsed="false">
      <c r="E15" s="0"/>
      <c r="H15" s="0"/>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row>
    <row r="16" s="30" customFormat="true" ht="16.9" hidden="false" customHeight="true" outlineLevel="0" collapsed="false">
      <c r="A16" s="30" t="n">
        <f aca="false">COUNT($A$6:A15)+1</f>
        <v>1</v>
      </c>
      <c r="C16" s="30" t="s">
        <v>203</v>
      </c>
      <c r="E16" s="31"/>
      <c r="H16" s="112"/>
    </row>
    <row r="17" customFormat="false" ht="15" hidden="false" customHeight="false" outlineLevel="0" collapsed="false">
      <c r="E17" s="0"/>
      <c r="H17" s="0"/>
    </row>
    <row r="18" customFormat="false" ht="15" hidden="false" customHeight="false" outlineLevel="0" collapsed="false">
      <c r="B18" s="2" t="n">
        <f aca="false">(MAX($A$7:B17)+0.1)</f>
        <v>1.1</v>
      </c>
      <c r="C18" s="2" t="s">
        <v>204</v>
      </c>
      <c r="E18" s="0"/>
      <c r="H18" s="0"/>
      <c r="J18" s="113"/>
    </row>
    <row r="19" customFormat="false" ht="15" hidden="false" customHeight="false" outlineLevel="0" collapsed="false">
      <c r="C19" s="0" t="s">
        <v>205</v>
      </c>
      <c r="E19" s="104" t="s">
        <v>46</v>
      </c>
      <c r="H19" s="0"/>
      <c r="I19" s="114" t="n">
        <f aca="false">I7*Annual_Energy*(1-Degradation)^(I8-1)</f>
        <v>0</v>
      </c>
      <c r="J19" s="114" t="n">
        <f aca="false">J7*Annual_Energy*(1-Degradation)^(J8-1)</f>
        <v>29506152.2706245</v>
      </c>
      <c r="K19" s="114" t="n">
        <f aca="false">K7*Annual_Energy*(1-Degradation)^(K8-1)</f>
        <v>29358621.5092714</v>
      </c>
      <c r="L19" s="114" t="n">
        <f aca="false">L7*Annual_Energy*(1-Degradation)^(L8-1)</f>
        <v>29211828.4017251</v>
      </c>
      <c r="M19" s="114" t="n">
        <f aca="false">M7*Annual_Energy*(1-Degradation)^(M8-1)</f>
        <v>29065769.2597164</v>
      </c>
      <c r="N19" s="114" t="n">
        <f aca="false">N7*Annual_Energy*(1-Degradation)^(N8-1)</f>
        <v>28920440.4134179</v>
      </c>
      <c r="O19" s="114" t="n">
        <f aca="false">O7*Annual_Energy*(1-Degradation)^(O8-1)</f>
        <v>28775838.2113508</v>
      </c>
      <c r="P19" s="114" t="n">
        <f aca="false">P7*Annual_Energy*(1-Degradation)^(P8-1)</f>
        <v>28631959.020294</v>
      </c>
      <c r="Q19" s="114" t="n">
        <f aca="false">Q7*Annual_Energy*(1-Degradation)^(Q8-1)</f>
        <v>28488799.2251925</v>
      </c>
      <c r="R19" s="114" t="n">
        <f aca="false">R7*Annual_Energy*(1-Degradation)^(R8-1)</f>
        <v>28346355.2290666</v>
      </c>
      <c r="S19" s="114" t="n">
        <f aca="false">S7*Annual_Energy*(1-Degradation)^(S8-1)</f>
        <v>28204623.4529212</v>
      </c>
      <c r="T19" s="114" t="n">
        <f aca="false">T7*Annual_Energy*(1-Degradation)^(T8-1)</f>
        <v>28063600.3356566</v>
      </c>
      <c r="U19" s="114" t="n">
        <f aca="false">U7*Annual_Energy*(1-Degradation)^(U8-1)</f>
        <v>27923282.3339784</v>
      </c>
      <c r="V19" s="114" t="n">
        <f aca="false">V7*Annual_Energy*(1-Degradation)^(V8-1)</f>
        <v>27783665.9223085</v>
      </c>
      <c r="W19" s="114" t="n">
        <f aca="false">W7*Annual_Energy*(1-Degradation)^(W8-1)</f>
        <v>27644747.5926969</v>
      </c>
      <c r="X19" s="114" t="n">
        <f aca="false">X7*Annual_Energy*(1-Degradation)^(X8-1)</f>
        <v>27506523.8547334</v>
      </c>
      <c r="Y19" s="114" t="n">
        <f aca="false">Y7*Annual_Energy*(1-Degradation)^(Y8-1)</f>
        <v>27368991.2354598</v>
      </c>
      <c r="Z19" s="114" t="n">
        <f aca="false">Z7*Annual_Energy*(1-Degradation)^(Z8-1)</f>
        <v>27232146.2792825</v>
      </c>
      <c r="AA19" s="114" t="n">
        <f aca="false">AA7*Annual_Energy*(1-Degradation)^(AA8-1)</f>
        <v>27095985.5478861</v>
      </c>
      <c r="AB19" s="114" t="n">
        <f aca="false">AB7*Annual_Energy*(1-Degradation)^(AB8-1)</f>
        <v>26960505.6201466</v>
      </c>
      <c r="AC19" s="114" t="n">
        <f aca="false">AC7*Annual_Energy*(1-Degradation)^(AC8-1)</f>
        <v>26825703.0920459</v>
      </c>
      <c r="AD19" s="114" t="n">
        <f aca="false">AD7*Annual_Energy*(1-Degradation)^(AD8-1)</f>
        <v>0</v>
      </c>
      <c r="AE19" s="114" t="n">
        <f aca="false">AE7*Annual_Energy*(1-Degradation)^(AE8-1)</f>
        <v>0</v>
      </c>
      <c r="AF19" s="114" t="n">
        <f aca="false">AF7*Annual_Energy*(1-Degradation)^(AF8-1)</f>
        <v>0</v>
      </c>
      <c r="AG19" s="114" t="n">
        <f aca="false">AG7*Annual_Energy*(1-Degradation)^(AG8-1)</f>
        <v>0</v>
      </c>
      <c r="AH19" s="114" t="n">
        <f aca="false">AH7*Annual_Energy*(1-Degradation)^(AH8-1)</f>
        <v>0</v>
      </c>
      <c r="AI19" s="114" t="n">
        <f aca="false">AI7*Annual_Energy*(1-Degradation)^(AI8-1)</f>
        <v>0</v>
      </c>
      <c r="AJ19" s="114" t="n">
        <f aca="false">AJ7*Annual_Energy*(1-Degradation)^(AJ8-1)</f>
        <v>0</v>
      </c>
      <c r="AK19" s="114" t="n">
        <f aca="false">AK7*Annual_Energy*(1-Degradation)^(AK8-1)</f>
        <v>0</v>
      </c>
      <c r="AL19" s="114" t="n">
        <f aca="false">AL7*Annual_Energy*(1-Degradation)^(AL8-1)</f>
        <v>0</v>
      </c>
    </row>
    <row r="20" customFormat="false" ht="15" hidden="false" customHeight="false" outlineLevel="0" collapsed="false">
      <c r="C20" s="0" t="s">
        <v>206</v>
      </c>
      <c r="E20" s="104" t="s">
        <v>62</v>
      </c>
      <c r="G20" s="115" t="n">
        <f aca="false">NPV(Tariff_Discount,I20:AL20)*Tariff_Discount*(1+Tariff_Discount)^PPA_duration/((1+Tariff_Discount)^PPA_duration-1)</f>
        <v>0.14</v>
      </c>
      <c r="H20" s="0"/>
      <c r="I20" s="116" t="str">
        <f aca="false">IFERROR(I$7*First_Tariff*I11/I7,"")</f>
        <v/>
      </c>
      <c r="J20" s="116" t="n">
        <f aca="false">IFERROR(J$7*First_Tariff*J11/J7,"")</f>
        <v>0.14</v>
      </c>
      <c r="K20" s="116" t="n">
        <f aca="false">IFERROR(K$7*First_Tariff*K11/K7,"")</f>
        <v>0.14</v>
      </c>
      <c r="L20" s="116" t="n">
        <f aca="false">IFERROR(L$7*First_Tariff*L11/L7,"")</f>
        <v>0.14</v>
      </c>
      <c r="M20" s="116" t="n">
        <f aca="false">IFERROR(M$7*First_Tariff*M11/M7,"")</f>
        <v>0.14</v>
      </c>
      <c r="N20" s="116" t="n">
        <f aca="false">IFERROR(N$7*First_Tariff*N11/N7,"")</f>
        <v>0.14</v>
      </c>
      <c r="O20" s="116" t="n">
        <f aca="false">IFERROR(O$7*First_Tariff*O11/O7,"")</f>
        <v>0.14</v>
      </c>
      <c r="P20" s="116" t="n">
        <f aca="false">IFERROR(P$7*First_Tariff*P11/P7,"")</f>
        <v>0.14</v>
      </c>
      <c r="Q20" s="116" t="n">
        <f aca="false">IFERROR(Q$7*First_Tariff*Q11/Q7,"")</f>
        <v>0.14</v>
      </c>
      <c r="R20" s="116" t="n">
        <f aca="false">IFERROR(R$7*First_Tariff*R11/R7,"")</f>
        <v>0.14</v>
      </c>
      <c r="S20" s="116" t="n">
        <f aca="false">IFERROR(S$7*First_Tariff*S11/S7,"")</f>
        <v>0.14</v>
      </c>
      <c r="T20" s="116" t="n">
        <f aca="false">IFERROR(T$7*First_Tariff*T11/T7,"")</f>
        <v>0.14</v>
      </c>
      <c r="U20" s="116" t="n">
        <f aca="false">IFERROR(U$7*First_Tariff*U11/U7,"")</f>
        <v>0.14</v>
      </c>
      <c r="V20" s="116" t="n">
        <f aca="false">IFERROR(V$7*First_Tariff*V11/V7,"")</f>
        <v>0.14</v>
      </c>
      <c r="W20" s="116" t="n">
        <f aca="false">IFERROR(W$7*First_Tariff*W11/W7,"")</f>
        <v>0.14</v>
      </c>
      <c r="X20" s="116" t="n">
        <f aca="false">IFERROR(X$7*First_Tariff*X11/X7,"")</f>
        <v>0.14</v>
      </c>
      <c r="Y20" s="116" t="n">
        <f aca="false">IFERROR(Y$7*First_Tariff*Y11/Y7,"")</f>
        <v>0.14</v>
      </c>
      <c r="Z20" s="116" t="n">
        <f aca="false">IFERROR(Z$7*First_Tariff*Z11/Z7,"")</f>
        <v>0.14</v>
      </c>
      <c r="AA20" s="116" t="n">
        <f aca="false">IFERROR(AA$7*First_Tariff*AA11/AA7,"")</f>
        <v>0.14</v>
      </c>
      <c r="AB20" s="116" t="n">
        <f aca="false">IFERROR(AB$7*First_Tariff*AB11/AB7,"")</f>
        <v>0.14</v>
      </c>
      <c r="AC20" s="116" t="n">
        <f aca="false">IFERROR(AC$7*First_Tariff*AC11/AC7,"")</f>
        <v>0.14</v>
      </c>
      <c r="AD20" s="116" t="str">
        <f aca="false">IFERROR(AD$7*First_Tariff*AD11/AD7,"")</f>
        <v/>
      </c>
      <c r="AE20" s="116" t="str">
        <f aca="false">IFERROR(AE$7*First_Tariff*AE11/AE7,"")</f>
        <v/>
      </c>
      <c r="AF20" s="116" t="str">
        <f aca="false">IFERROR(AF$7*First_Tariff*AF11/AF7,"")</f>
        <v/>
      </c>
      <c r="AG20" s="116" t="str">
        <f aca="false">IFERROR(AG$7*First_Tariff*AG11/AG7,"")</f>
        <v/>
      </c>
      <c r="AH20" s="116" t="str">
        <f aca="false">IFERROR(AH$7*First_Tariff*AH11/AH7,"")</f>
        <v/>
      </c>
      <c r="AI20" s="116" t="str">
        <f aca="false">IFERROR(AI$7*First_Tariff*AI11/AI7,"")</f>
        <v/>
      </c>
      <c r="AJ20" s="116" t="str">
        <f aca="false">IFERROR(AJ$7*First_Tariff*AJ11/AJ7,"")</f>
        <v/>
      </c>
      <c r="AK20" s="116" t="str">
        <f aca="false">IFERROR(AK$7*First_Tariff*AK11/AK7,"")</f>
        <v/>
      </c>
      <c r="AL20" s="116" t="str">
        <f aca="false">IFERROR(AL$7*First_Tariff*AL11/AL7,"")</f>
        <v/>
      </c>
    </row>
    <row r="21" customFormat="false" ht="15" hidden="false" customHeight="false" outlineLevel="0" collapsed="false">
      <c r="C21" s="117" t="s">
        <v>207</v>
      </c>
      <c r="D21" s="117"/>
      <c r="E21" s="118" t="s">
        <v>72</v>
      </c>
      <c r="F21" s="117"/>
      <c r="G21" s="117"/>
      <c r="H21" s="119"/>
      <c r="I21" s="120" t="n">
        <f aca="false">IFERROR(I20*I19,0)</f>
        <v>0</v>
      </c>
      <c r="J21" s="121" t="n">
        <f aca="false">IFERROR(J20*J19,0)</f>
        <v>4130861.31788744</v>
      </c>
      <c r="K21" s="121" t="n">
        <f aca="false">IFERROR(K20*K19,0)</f>
        <v>4110207.011298</v>
      </c>
      <c r="L21" s="121" t="n">
        <f aca="false">IFERROR(L20*L19,0)</f>
        <v>4089655.97624151</v>
      </c>
      <c r="M21" s="121" t="n">
        <f aca="false">IFERROR(M20*M19,0)</f>
        <v>4069207.6963603</v>
      </c>
      <c r="N21" s="121" t="n">
        <f aca="false">IFERROR(N20*N19,0)</f>
        <v>4048861.6578785</v>
      </c>
      <c r="O21" s="121" t="n">
        <f aca="false">IFERROR(O20*O19,0)</f>
        <v>4028617.34958911</v>
      </c>
      <c r="P21" s="121" t="n">
        <f aca="false">IFERROR(P20*P19,0)</f>
        <v>4008474.26284116</v>
      </c>
      <c r="Q21" s="121" t="n">
        <f aca="false">IFERROR(Q20*Q19,0)</f>
        <v>3988431.89152696</v>
      </c>
      <c r="R21" s="121" t="n">
        <f aca="false">IFERROR(R20*R19,0)</f>
        <v>3968489.73206932</v>
      </c>
      <c r="S21" s="121" t="n">
        <f aca="false">IFERROR(S20*S19,0)</f>
        <v>3948647.28340898</v>
      </c>
      <c r="T21" s="121" t="n">
        <f aca="false">IFERROR(T20*T19,0)</f>
        <v>3928904.04699193</v>
      </c>
      <c r="U21" s="121" t="n">
        <f aca="false">IFERROR(U20*U19,0)</f>
        <v>3909259.52675697</v>
      </c>
      <c r="V21" s="121" t="n">
        <f aca="false">IFERROR(V20*V19,0)</f>
        <v>3889713.22912319</v>
      </c>
      <c r="W21" s="121" t="n">
        <f aca="false">IFERROR(W20*W19,0)</f>
        <v>3870264.66297757</v>
      </c>
      <c r="X21" s="121" t="n">
        <f aca="false">IFERROR(X20*X19,0)</f>
        <v>3850913.33966268</v>
      </c>
      <c r="Y21" s="121" t="n">
        <f aca="false">IFERROR(Y20*Y19,0)</f>
        <v>3831658.77296437</v>
      </c>
      <c r="Z21" s="121" t="n">
        <f aca="false">IFERROR(Z20*Z19,0)</f>
        <v>3812500.47909955</v>
      </c>
      <c r="AA21" s="121" t="n">
        <f aca="false">IFERROR(AA20*AA19,0)</f>
        <v>3793437.97670405</v>
      </c>
      <c r="AB21" s="121" t="n">
        <f aca="false">IFERROR(AB20*AB19,0)</f>
        <v>3774470.78682053</v>
      </c>
      <c r="AC21" s="121" t="n">
        <f aca="false">IFERROR(AC20*AC19,0)</f>
        <v>3755598.43288643</v>
      </c>
      <c r="AD21" s="121" t="n">
        <f aca="false">IFERROR(AD20*AD19,0)</f>
        <v>0</v>
      </c>
      <c r="AE21" s="121" t="n">
        <f aca="false">IFERROR(AE20*AE19,0)</f>
        <v>0</v>
      </c>
      <c r="AF21" s="121" t="n">
        <f aca="false">IFERROR(AF20*AF19,0)</f>
        <v>0</v>
      </c>
      <c r="AG21" s="121" t="n">
        <f aca="false">IFERROR(AG20*AG19,0)</f>
        <v>0</v>
      </c>
      <c r="AH21" s="121" t="n">
        <f aca="false">IFERROR(AH20*AH19,0)</f>
        <v>0</v>
      </c>
      <c r="AI21" s="121" t="n">
        <f aca="false">IFERROR(AI20*AI19,0)</f>
        <v>0</v>
      </c>
      <c r="AJ21" s="121" t="n">
        <f aca="false">IFERROR(AJ20*AJ19,0)</f>
        <v>0</v>
      </c>
      <c r="AK21" s="121" t="n">
        <f aca="false">IFERROR(AK20*AK19,0)</f>
        <v>0</v>
      </c>
      <c r="AL21" s="121" t="n">
        <f aca="false">IFERROR(AL20*AL19,0)</f>
        <v>0</v>
      </c>
    </row>
    <row r="23" customFormat="false" ht="15" hidden="false" customHeight="false" outlineLevel="0" collapsed="false">
      <c r="C23" s="0" t="s">
        <v>208</v>
      </c>
      <c r="E23" s="104" t="s">
        <v>72</v>
      </c>
      <c r="H23" s="0"/>
      <c r="I23" s="122" t="n">
        <f aca="false">-I$7*initial_OM*I$10</f>
        <v>0</v>
      </c>
      <c r="J23" s="122" t="n">
        <f aca="false">-J$7*initial_OM*J10</f>
        <v>-216300</v>
      </c>
      <c r="K23" s="122" t="n">
        <f aca="false">-K$7*initial_OM*K10</f>
        <v>-222789</v>
      </c>
      <c r="L23" s="122" t="n">
        <f aca="false">-L$7*initial_OM*L10</f>
        <v>-229472.67</v>
      </c>
      <c r="M23" s="122" t="n">
        <f aca="false">-M$7*initial_OM*M10</f>
        <v>-236356.8501</v>
      </c>
      <c r="N23" s="122" t="n">
        <f aca="false">-N$7*initial_OM*N10</f>
        <v>-243447.555603</v>
      </c>
      <c r="O23" s="122" t="n">
        <f aca="false">-O$7*initial_OM*O10</f>
        <v>-250750.98227109</v>
      </c>
      <c r="P23" s="122" t="n">
        <f aca="false">-P$7*initial_OM*P10</f>
        <v>-258273.511739223</v>
      </c>
      <c r="Q23" s="122" t="n">
        <f aca="false">-Q$7*initial_OM*Q10</f>
        <v>-266021.717091399</v>
      </c>
      <c r="R23" s="122" t="n">
        <f aca="false">-R$7*initial_OM*R10</f>
        <v>-274002.368604141</v>
      </c>
      <c r="S23" s="122" t="n">
        <f aca="false">-S$7*initial_OM*S10</f>
        <v>-282222.439662266</v>
      </c>
      <c r="T23" s="122" t="n">
        <f aca="false">-T$7*initial_OM*T10</f>
        <v>-290689.112852134</v>
      </c>
      <c r="U23" s="122" t="n">
        <f aca="false">-U$7*initial_OM*U10</f>
        <v>-299409.786237698</v>
      </c>
      <c r="V23" s="122" t="n">
        <f aca="false">-V$7*initial_OM*V10</f>
        <v>-308392.079824829</v>
      </c>
      <c r="W23" s="122" t="n">
        <f aca="false">-W$7*initial_OM*W10</f>
        <v>-317643.842219573</v>
      </c>
      <c r="X23" s="122" t="n">
        <f aca="false">-X$7*initial_OM*X10</f>
        <v>-327173.157486161</v>
      </c>
      <c r="Y23" s="122" t="n">
        <f aca="false">-Y$7*initial_OM*Y10</f>
        <v>-336988.352210746</v>
      </c>
      <c r="Z23" s="122" t="n">
        <f aca="false">-Z$7*initial_OM*Z10</f>
        <v>-347098.002777068</v>
      </c>
      <c r="AA23" s="122" t="n">
        <f aca="false">-AA$7*initial_OM*AA10</f>
        <v>-357510.94286038</v>
      </c>
      <c r="AB23" s="122" t="n">
        <f aca="false">-AB$7*initial_OM*AB10</f>
        <v>-368236.271146191</v>
      </c>
      <c r="AC23" s="122" t="n">
        <f aca="false">-AC$7*initial_OM*AC10</f>
        <v>-379283.359280577</v>
      </c>
      <c r="AD23" s="122" t="n">
        <f aca="false">-AD$7*initial_OM*AD10</f>
        <v>-0</v>
      </c>
      <c r="AE23" s="122" t="n">
        <f aca="false">-AE$7*initial_OM*AE10</f>
        <v>-0</v>
      </c>
      <c r="AF23" s="122" t="n">
        <f aca="false">-AF$7*initial_OM*AF10</f>
        <v>-0</v>
      </c>
      <c r="AG23" s="122" t="n">
        <f aca="false">-AG$7*initial_OM*AG10</f>
        <v>-0</v>
      </c>
      <c r="AH23" s="122" t="n">
        <f aca="false">-AH$7*initial_OM*AH10</f>
        <v>-0</v>
      </c>
      <c r="AI23" s="122" t="n">
        <f aca="false">-AI$7*initial_OM*AI10</f>
        <v>-0</v>
      </c>
      <c r="AJ23" s="122" t="n">
        <f aca="false">-AJ$7*initial_OM*AJ10</f>
        <v>-0</v>
      </c>
      <c r="AK23" s="122" t="n">
        <f aca="false">-AK$7*initial_OM*AK10</f>
        <v>-0</v>
      </c>
      <c r="AL23" s="122" t="n">
        <f aca="false">-AL$7*initial_OM*AL10</f>
        <v>-0</v>
      </c>
    </row>
    <row r="24" customFormat="false" ht="15" hidden="false" customHeight="false" outlineLevel="0" collapsed="false">
      <c r="C24" s="0" t="s">
        <v>209</v>
      </c>
      <c r="E24" s="104" t="s">
        <v>72</v>
      </c>
      <c r="H24" s="0"/>
      <c r="I24" s="114" t="n">
        <f aca="false">-I$7*Parameters!$I60*I$10</f>
        <v>0</v>
      </c>
      <c r="J24" s="122" t="n">
        <f aca="false">-J$7*Parameters!$I60*J$10</f>
        <v>-51500</v>
      </c>
      <c r="K24" s="122" t="n">
        <f aca="false">-K$7*Parameters!$I60*K$10</f>
        <v>-53045</v>
      </c>
      <c r="L24" s="122" t="n">
        <f aca="false">-L$7*Parameters!$I60*L$10</f>
        <v>-54636.35</v>
      </c>
      <c r="M24" s="122" t="n">
        <f aca="false">-M$7*Parameters!$I60*M$10</f>
        <v>-56275.4405</v>
      </c>
      <c r="N24" s="122" t="n">
        <f aca="false">-N$7*Parameters!$I60*N$10</f>
        <v>-57963.703715</v>
      </c>
      <c r="O24" s="122" t="n">
        <f aca="false">-O$7*Parameters!$I60*O$10</f>
        <v>-59702.61482645</v>
      </c>
      <c r="P24" s="122" t="n">
        <f aca="false">-P$7*Parameters!$I60*P$10</f>
        <v>-61493.6932712435</v>
      </c>
      <c r="Q24" s="122" t="n">
        <f aca="false">-Q$7*Parameters!$I60*Q$10</f>
        <v>-63338.5040693808</v>
      </c>
      <c r="R24" s="122" t="n">
        <f aca="false">-R$7*Parameters!$I60*R$10</f>
        <v>-65238.6591914622</v>
      </c>
      <c r="S24" s="122" t="n">
        <f aca="false">-S$7*Parameters!$I60*S$10</f>
        <v>-67195.8189672061</v>
      </c>
      <c r="T24" s="122" t="n">
        <f aca="false">-T$7*Parameters!$I60*T$10</f>
        <v>-69211.6935362223</v>
      </c>
      <c r="U24" s="122" t="n">
        <f aca="false">-U$7*Parameters!$I60*U$10</f>
        <v>-71288.0443423089</v>
      </c>
      <c r="V24" s="122" t="n">
        <f aca="false">-V$7*Parameters!$I60*V$10</f>
        <v>-73426.6856725782</v>
      </c>
      <c r="W24" s="122" t="n">
        <f aca="false">-W$7*Parameters!$I60*W$10</f>
        <v>-75629.4862427556</v>
      </c>
      <c r="X24" s="122" t="n">
        <f aca="false">-X$7*Parameters!$I60*X$10</f>
        <v>-77898.3708300382</v>
      </c>
      <c r="Y24" s="122" t="n">
        <f aca="false">-Y$7*Parameters!$I60*Y$10</f>
        <v>-80235.3219549394</v>
      </c>
      <c r="Z24" s="122" t="n">
        <f aca="false">-Z$7*Parameters!$I60*Z$10</f>
        <v>-82642.3816135875</v>
      </c>
      <c r="AA24" s="122" t="n">
        <f aca="false">-AA$7*Parameters!$I60*AA$10</f>
        <v>-85121.6530619952</v>
      </c>
      <c r="AB24" s="122" t="n">
        <f aca="false">-AB$7*Parameters!$I60*AB$10</f>
        <v>-87675.302653855</v>
      </c>
      <c r="AC24" s="122" t="n">
        <f aca="false">-AC$7*Parameters!$I60*AC$10</f>
        <v>-90305.5617334707</v>
      </c>
      <c r="AD24" s="122" t="n">
        <f aca="false">-AD$7*Parameters!$I60*AD$10</f>
        <v>0</v>
      </c>
      <c r="AE24" s="122" t="n">
        <f aca="false">-AE$7*Parameters!$I60*AE$10</f>
        <v>0</v>
      </c>
      <c r="AF24" s="122" t="n">
        <f aca="false">-AF$7*Parameters!$I60*AF$10</f>
        <v>0</v>
      </c>
      <c r="AG24" s="122" t="n">
        <f aca="false">-AG$7*Parameters!$I60*AG$10</f>
        <v>0</v>
      </c>
      <c r="AH24" s="122" t="n">
        <f aca="false">-AH$7*Parameters!$I60*AH$10</f>
        <v>0</v>
      </c>
      <c r="AI24" s="122" t="n">
        <f aca="false">-AI$7*Parameters!$I60*AI$10</f>
        <v>0</v>
      </c>
      <c r="AJ24" s="122" t="n">
        <f aca="false">-AJ$7*Parameters!$I60*AJ$10</f>
        <v>0</v>
      </c>
      <c r="AK24" s="122" t="n">
        <f aca="false">-AK$7*Parameters!$I60*AK$10</f>
        <v>0</v>
      </c>
      <c r="AL24" s="122" t="n">
        <f aca="false">-AL$7*Parameters!$I60*AL$10</f>
        <v>0</v>
      </c>
    </row>
    <row r="25" customFormat="false" ht="15" hidden="false" customHeight="false" outlineLevel="0" collapsed="false">
      <c r="C25" s="0" t="s">
        <v>97</v>
      </c>
      <c r="E25" s="104" t="s">
        <v>72</v>
      </c>
      <c r="H25" s="0"/>
      <c r="I25" s="114" t="n">
        <f aca="false">-I$7*Parameters!$I61*I$10</f>
        <v>0</v>
      </c>
      <c r="J25" s="114" t="n">
        <f aca="false">-J$7*Parameters!$I61*J$10</f>
        <v>-46350</v>
      </c>
      <c r="K25" s="114" t="n">
        <f aca="false">-K$7*Parameters!$I61*K$10</f>
        <v>-47740.5</v>
      </c>
      <c r="L25" s="114" t="n">
        <f aca="false">-L$7*Parameters!$I61*L$10</f>
        <v>-49172.715</v>
      </c>
      <c r="M25" s="114" t="n">
        <f aca="false">-M$7*Parameters!$I61*M$10</f>
        <v>-50647.89645</v>
      </c>
      <c r="N25" s="114" t="n">
        <f aca="false">-N$7*Parameters!$I61*N$10</f>
        <v>-52167.3333435</v>
      </c>
      <c r="O25" s="114" t="n">
        <f aca="false">-O$7*Parameters!$I61*O$10</f>
        <v>-53732.353343805</v>
      </c>
      <c r="P25" s="114" t="n">
        <f aca="false">-P$7*Parameters!$I61*P$10</f>
        <v>-55344.3239441191</v>
      </c>
      <c r="Q25" s="114" t="n">
        <f aca="false">-Q$7*Parameters!$I61*Q$10</f>
        <v>-57004.6536624427</v>
      </c>
      <c r="R25" s="114" t="n">
        <f aca="false">-R$7*Parameters!$I61*R$10</f>
        <v>-58714.793272316</v>
      </c>
      <c r="S25" s="114" t="n">
        <f aca="false">-S$7*Parameters!$I61*S$10</f>
        <v>-60476.2370704855</v>
      </c>
      <c r="T25" s="114" t="n">
        <f aca="false">-T$7*Parameters!$I61*T$10</f>
        <v>-62290.5241826</v>
      </c>
      <c r="U25" s="114" t="n">
        <f aca="false">-U$7*Parameters!$I61*U$10</f>
        <v>-64159.239908078</v>
      </c>
      <c r="V25" s="114" t="n">
        <f aca="false">-V$7*Parameters!$I61*V$10</f>
        <v>-66084.0171053204</v>
      </c>
      <c r="W25" s="114" t="n">
        <f aca="false">-W$7*Parameters!$I61*W$10</f>
        <v>-68066.53761848</v>
      </c>
      <c r="X25" s="114" t="n">
        <f aca="false">-X$7*Parameters!$I61*X$10</f>
        <v>-70108.5337470344</v>
      </c>
      <c r="Y25" s="114" t="n">
        <f aca="false">-Y$7*Parameters!$I61*Y$10</f>
        <v>-72211.7897594454</v>
      </c>
      <c r="Z25" s="114" t="n">
        <f aca="false">-Z$7*Parameters!$I61*Z$10</f>
        <v>-74378.1434522288</v>
      </c>
      <c r="AA25" s="114" t="n">
        <f aca="false">-AA$7*Parameters!$I61*AA$10</f>
        <v>-76609.4877557957</v>
      </c>
      <c r="AB25" s="114" t="n">
        <f aca="false">-AB$7*Parameters!$I61*AB$10</f>
        <v>-78907.7723884695</v>
      </c>
      <c r="AC25" s="114" t="n">
        <f aca="false">-AC$7*Parameters!$I61*AC$10</f>
        <v>-81275.0055601236</v>
      </c>
      <c r="AD25" s="114" t="n">
        <f aca="false">-AD$7*Parameters!$I61*AD$10</f>
        <v>0</v>
      </c>
      <c r="AE25" s="114" t="n">
        <f aca="false">-AE$7*Parameters!$I61*AE$10</f>
        <v>0</v>
      </c>
      <c r="AF25" s="114" t="n">
        <f aca="false">-AF$7*Parameters!$I61*AF$10</f>
        <v>0</v>
      </c>
      <c r="AG25" s="114" t="n">
        <f aca="false">-AG$7*Parameters!$I61*AG$10</f>
        <v>0</v>
      </c>
      <c r="AH25" s="114" t="n">
        <f aca="false">-AH$7*Parameters!$I61*AH$10</f>
        <v>0</v>
      </c>
      <c r="AI25" s="114" t="n">
        <f aca="false">-AI$7*Parameters!$I61*AI$10</f>
        <v>0</v>
      </c>
      <c r="AJ25" s="114" t="n">
        <f aca="false">-AJ$7*Parameters!$I61*AJ$10</f>
        <v>0</v>
      </c>
      <c r="AK25" s="114" t="n">
        <f aca="false">-AK$7*Parameters!$I61*AK$10</f>
        <v>0</v>
      </c>
      <c r="AL25" s="114" t="n">
        <f aca="false">-AL$7*Parameters!$I61*AL$10</f>
        <v>0</v>
      </c>
    </row>
    <row r="26" customFormat="false" ht="15" hidden="false" customHeight="false" outlineLevel="0" collapsed="false">
      <c r="C26" s="0" t="s">
        <v>98</v>
      </c>
      <c r="E26" s="104" t="s">
        <v>72</v>
      </c>
      <c r="H26" s="0"/>
      <c r="I26" s="114" t="n">
        <f aca="false">-I$7*Parameters!$I62*I$10</f>
        <v>0</v>
      </c>
      <c r="J26" s="122" t="n">
        <f aca="false">-J$7*Parameters!$I62*J$10</f>
        <v>0</v>
      </c>
      <c r="K26" s="122" t="n">
        <f aca="false">-K$7*Parameters!$I62*K$10</f>
        <v>0</v>
      </c>
      <c r="L26" s="122" t="n">
        <f aca="false">-L$7*Parameters!$I62*L$10</f>
        <v>0</v>
      </c>
      <c r="M26" s="122" t="n">
        <f aca="false">-M$7*Parameters!$I62*M$10</f>
        <v>0</v>
      </c>
      <c r="N26" s="122" t="n">
        <f aca="false">-N$7*Parameters!$I62*N$10</f>
        <v>0</v>
      </c>
      <c r="O26" s="122" t="n">
        <f aca="false">-O$7*Parameters!$I62*O$10</f>
        <v>0</v>
      </c>
      <c r="P26" s="122" t="n">
        <f aca="false">-P$7*Parameters!$I62*P$10</f>
        <v>0</v>
      </c>
      <c r="Q26" s="122" t="n">
        <f aca="false">-Q$7*Parameters!$I62*Q$10</f>
        <v>0</v>
      </c>
      <c r="R26" s="122" t="n">
        <f aca="false">-R$7*Parameters!$I62*R$10</f>
        <v>0</v>
      </c>
      <c r="S26" s="122" t="n">
        <f aca="false">-S$7*Parameters!$I62*S$10</f>
        <v>0</v>
      </c>
      <c r="T26" s="122" t="n">
        <f aca="false">-T$7*Parameters!$I62*T$10</f>
        <v>0</v>
      </c>
      <c r="U26" s="122" t="n">
        <f aca="false">-U$7*Parameters!$I62*U$10</f>
        <v>0</v>
      </c>
      <c r="V26" s="122" t="n">
        <f aca="false">-V$7*Parameters!$I62*V$10</f>
        <v>0</v>
      </c>
      <c r="W26" s="122" t="n">
        <f aca="false">-W$7*Parameters!$I62*W$10</f>
        <v>0</v>
      </c>
      <c r="X26" s="122" t="n">
        <f aca="false">-X$7*Parameters!$I62*X$10</f>
        <v>0</v>
      </c>
      <c r="Y26" s="122" t="n">
        <f aca="false">-Y$7*Parameters!$I62*Y$10</f>
        <v>0</v>
      </c>
      <c r="Z26" s="122" t="n">
        <f aca="false">-Z$7*Parameters!$I62*Z$10</f>
        <v>0</v>
      </c>
      <c r="AA26" s="122" t="n">
        <f aca="false">-AA$7*Parameters!$I62*AA$10</f>
        <v>0</v>
      </c>
      <c r="AB26" s="122" t="n">
        <f aca="false">-AB$7*Parameters!$I62*AB$10</f>
        <v>0</v>
      </c>
      <c r="AC26" s="122" t="n">
        <f aca="false">-AC$7*Parameters!$I62*AC$10</f>
        <v>0</v>
      </c>
      <c r="AD26" s="122" t="n">
        <f aca="false">-AD$7*Parameters!$I62*AD$10</f>
        <v>0</v>
      </c>
      <c r="AE26" s="122" t="n">
        <f aca="false">-AE$7*Parameters!$I62*AE$10</f>
        <v>0</v>
      </c>
      <c r="AF26" s="122" t="n">
        <f aca="false">-AF$7*Parameters!$I62*AF$10</f>
        <v>0</v>
      </c>
      <c r="AG26" s="122" t="n">
        <f aca="false">-AG$7*Parameters!$I62*AG$10</f>
        <v>0</v>
      </c>
      <c r="AH26" s="122" t="n">
        <f aca="false">-AH$7*Parameters!$I62*AH$10</f>
        <v>0</v>
      </c>
      <c r="AI26" s="122" t="n">
        <f aca="false">-AI$7*Parameters!$I62*AI$10</f>
        <v>0</v>
      </c>
      <c r="AJ26" s="122" t="n">
        <f aca="false">-AJ$7*Parameters!$I62*AJ$10</f>
        <v>0</v>
      </c>
      <c r="AK26" s="122" t="n">
        <f aca="false">-AK$7*Parameters!$I62*AK$10</f>
        <v>0</v>
      </c>
      <c r="AL26" s="122" t="n">
        <f aca="false">-AL$7*Parameters!$I62*AL$10</f>
        <v>0</v>
      </c>
    </row>
    <row r="27" customFormat="false" ht="15" hidden="false" customHeight="false" outlineLevel="0" collapsed="false">
      <c r="C27" s="117" t="s">
        <v>210</v>
      </c>
      <c r="D27" s="117"/>
      <c r="E27" s="118" t="s">
        <v>72</v>
      </c>
      <c r="F27" s="117"/>
      <c r="G27" s="117"/>
      <c r="H27" s="119"/>
      <c r="I27" s="123" t="n">
        <f aca="false">SUM(I23:I26)</f>
        <v>0</v>
      </c>
      <c r="J27" s="124" t="n">
        <f aca="false">SUM(J23:J26)</f>
        <v>-314150</v>
      </c>
      <c r="K27" s="124" t="n">
        <f aca="false">SUM(K23:K26)</f>
        <v>-323574.5</v>
      </c>
      <c r="L27" s="124" t="n">
        <f aca="false">SUM(L23:L26)</f>
        <v>-333281.735</v>
      </c>
      <c r="M27" s="124" t="n">
        <f aca="false">SUM(M23:M26)</f>
        <v>-343280.18705</v>
      </c>
      <c r="N27" s="124" t="n">
        <f aca="false">SUM(N23:N26)</f>
        <v>-353578.5926615</v>
      </c>
      <c r="O27" s="124" t="n">
        <f aca="false">SUM(O23:O26)</f>
        <v>-364185.950441345</v>
      </c>
      <c r="P27" s="124" t="n">
        <f aca="false">SUM(P23:P26)</f>
        <v>-375111.528954585</v>
      </c>
      <c r="Q27" s="124" t="n">
        <f aca="false">SUM(Q23:Q26)</f>
        <v>-386364.874823223</v>
      </c>
      <c r="R27" s="124" t="n">
        <f aca="false">SUM(R23:R26)</f>
        <v>-397955.82106792</v>
      </c>
      <c r="S27" s="124" t="n">
        <f aca="false">SUM(S23:S26)</f>
        <v>-409894.495699957</v>
      </c>
      <c r="T27" s="124" t="n">
        <f aca="false">SUM(T23:T26)</f>
        <v>-422191.330570956</v>
      </c>
      <c r="U27" s="124" t="n">
        <f aca="false">SUM(U23:U26)</f>
        <v>-434857.070488085</v>
      </c>
      <c r="V27" s="124" t="n">
        <f aca="false">SUM(V23:V26)</f>
        <v>-447902.782602727</v>
      </c>
      <c r="W27" s="124" t="n">
        <f aca="false">SUM(W23:W26)</f>
        <v>-461339.866080809</v>
      </c>
      <c r="X27" s="124" t="n">
        <f aca="false">SUM(X23:X26)</f>
        <v>-475180.062063233</v>
      </c>
      <c r="Y27" s="124" t="n">
        <f aca="false">SUM(Y23:Y26)</f>
        <v>-489435.46392513</v>
      </c>
      <c r="Z27" s="124" t="n">
        <f aca="false">SUM(Z23:Z26)</f>
        <v>-504118.527842884</v>
      </c>
      <c r="AA27" s="124" t="n">
        <f aca="false">SUM(AA23:AA26)</f>
        <v>-519242.083678171</v>
      </c>
      <c r="AB27" s="124" t="n">
        <f aca="false">SUM(AB23:AB26)</f>
        <v>-534819.346188516</v>
      </c>
      <c r="AC27" s="124" t="n">
        <f aca="false">SUM(AC23:AC26)</f>
        <v>-550863.926574171</v>
      </c>
      <c r="AD27" s="124" t="n">
        <f aca="false">SUM(AD23:AD26)</f>
        <v>0</v>
      </c>
      <c r="AE27" s="124" t="n">
        <f aca="false">SUM(AE23:AE26)</f>
        <v>0</v>
      </c>
      <c r="AF27" s="124" t="n">
        <f aca="false">SUM(AF23:AF26)</f>
        <v>0</v>
      </c>
      <c r="AG27" s="124" t="n">
        <f aca="false">SUM(AG23:AG26)</f>
        <v>0</v>
      </c>
      <c r="AH27" s="124" t="n">
        <f aca="false">SUM(AH23:AH26)</f>
        <v>0</v>
      </c>
      <c r="AI27" s="124" t="n">
        <f aca="false">SUM(AI23:AI26)</f>
        <v>0</v>
      </c>
      <c r="AJ27" s="124" t="n">
        <f aca="false">SUM(AJ23:AJ26)</f>
        <v>0</v>
      </c>
      <c r="AK27" s="124" t="n">
        <f aca="false">SUM(AK23:AK26)</f>
        <v>0</v>
      </c>
      <c r="AL27" s="124" t="n">
        <f aca="false">SUM(AL23:AL26)</f>
        <v>0</v>
      </c>
    </row>
    <row r="29" customFormat="false" ht="15" hidden="false" customHeight="false" outlineLevel="0" collapsed="false">
      <c r="C29" s="0" t="s">
        <v>211</v>
      </c>
      <c r="E29" s="104" t="s">
        <v>72</v>
      </c>
      <c r="H29" s="0"/>
      <c r="I29" s="114" t="n">
        <f aca="false">I21+I27</f>
        <v>0</v>
      </c>
      <c r="J29" s="122" t="n">
        <f aca="false">J21+J27</f>
        <v>3816711.31788744</v>
      </c>
      <c r="K29" s="122" t="n">
        <f aca="false">K21+K27</f>
        <v>3786632.511298</v>
      </c>
      <c r="L29" s="122" t="n">
        <f aca="false">L21+L27</f>
        <v>3756374.24124151</v>
      </c>
      <c r="M29" s="122" t="n">
        <f aca="false">M21+M27</f>
        <v>3725927.5093103</v>
      </c>
      <c r="N29" s="122" t="n">
        <f aca="false">N21+N27</f>
        <v>3695283.065217</v>
      </c>
      <c r="O29" s="122" t="n">
        <f aca="false">O21+O27</f>
        <v>3664431.39914776</v>
      </c>
      <c r="P29" s="122" t="n">
        <f aca="false">P21+P27</f>
        <v>3633362.73388658</v>
      </c>
      <c r="Q29" s="122" t="n">
        <f aca="false">Q21+Q27</f>
        <v>3602067.01670374</v>
      </c>
      <c r="R29" s="122" t="n">
        <f aca="false">R21+R27</f>
        <v>3570533.9110014</v>
      </c>
      <c r="S29" s="122" t="n">
        <f aca="false">S21+S27</f>
        <v>3538752.78770902</v>
      </c>
      <c r="T29" s="122" t="n">
        <f aca="false">T21+T27</f>
        <v>3506712.71642098</v>
      </c>
      <c r="U29" s="122" t="n">
        <f aca="false">U21+U27</f>
        <v>3474402.45626889</v>
      </c>
      <c r="V29" s="122" t="n">
        <f aca="false">V21+V27</f>
        <v>3441810.44652046</v>
      </c>
      <c r="W29" s="122" t="n">
        <f aca="false">W21+W27</f>
        <v>3408924.79689676</v>
      </c>
      <c r="X29" s="122" t="n">
        <f aca="false">X21+X27</f>
        <v>3375733.27759945</v>
      </c>
      <c r="Y29" s="122" t="n">
        <f aca="false">Y21+Y27</f>
        <v>3342223.30903924</v>
      </c>
      <c r="Z29" s="122" t="n">
        <f aca="false">Z21+Z27</f>
        <v>3308381.95125666</v>
      </c>
      <c r="AA29" s="122" t="n">
        <f aca="false">AA21+AA27</f>
        <v>3274195.89302588</v>
      </c>
      <c r="AB29" s="122" t="n">
        <f aca="false">AB21+AB27</f>
        <v>3239651.44063201</v>
      </c>
      <c r="AC29" s="122" t="n">
        <f aca="false">AC21+AC27</f>
        <v>3204734.50631226</v>
      </c>
      <c r="AD29" s="122" t="n">
        <f aca="false">AD21+AD27</f>
        <v>0</v>
      </c>
      <c r="AE29" s="122" t="n">
        <f aca="false">AE21+AE27</f>
        <v>0</v>
      </c>
      <c r="AF29" s="122" t="n">
        <f aca="false">AF21+AF27</f>
        <v>0</v>
      </c>
      <c r="AG29" s="122" t="n">
        <f aca="false">AG21+AG27</f>
        <v>0</v>
      </c>
      <c r="AH29" s="122" t="n">
        <f aca="false">AH21+AH27</f>
        <v>0</v>
      </c>
      <c r="AI29" s="122" t="n">
        <f aca="false">AI21+AI27</f>
        <v>0</v>
      </c>
      <c r="AJ29" s="122" t="n">
        <f aca="false">AJ21+AJ27</f>
        <v>0</v>
      </c>
      <c r="AK29" s="122" t="n">
        <f aca="false">AK21+AK27</f>
        <v>0</v>
      </c>
      <c r="AL29" s="122" t="n">
        <f aca="false">AL21+AL27</f>
        <v>0</v>
      </c>
    </row>
    <row r="30" customFormat="false" ht="15" hidden="false" customHeight="false" outlineLevel="0" collapsed="false">
      <c r="C30" s="0" t="s">
        <v>115</v>
      </c>
      <c r="E30" s="104" t="s">
        <v>72</v>
      </c>
      <c r="H30" s="0"/>
      <c r="I30" s="122" t="n">
        <f aca="false">-(Depr_duration&gt;=I8)*I7*Total_Project_Cost/Depr_duration</f>
        <v>-0</v>
      </c>
      <c r="J30" s="122" t="n">
        <f aca="false">-(Depr_duration&gt;=J8)*J7*Total_Project_Cost/Depr_duration</f>
        <v>-1294155.04507814</v>
      </c>
      <c r="K30" s="122" t="n">
        <f aca="false">-(Depr_duration&gt;=K8)*K7*Total_Project_Cost/Depr_duration</f>
        <v>-1294155.04507814</v>
      </c>
      <c r="L30" s="122" t="n">
        <f aca="false">-(Depr_duration&gt;=L8)*L7*Total_Project_Cost/Depr_duration</f>
        <v>-1294155.04507814</v>
      </c>
      <c r="M30" s="122" t="n">
        <f aca="false">-(Depr_duration&gt;=M8)*M7*Total_Project_Cost/Depr_duration</f>
        <v>-1294155.04507814</v>
      </c>
      <c r="N30" s="122" t="n">
        <f aca="false">-(Depr_duration&gt;=N8)*N7*Total_Project_Cost/Depr_duration</f>
        <v>-1294155.04507814</v>
      </c>
      <c r="O30" s="122" t="n">
        <f aca="false">-(Depr_duration&gt;=O8)*O7*Total_Project_Cost/Depr_duration</f>
        <v>-1294155.04507814</v>
      </c>
      <c r="P30" s="122" t="n">
        <f aca="false">-(Depr_duration&gt;=P8)*P7*Total_Project_Cost/Depr_duration</f>
        <v>-1294155.04507814</v>
      </c>
      <c r="Q30" s="122" t="n">
        <f aca="false">-(Depr_duration&gt;=Q8)*Q7*Total_Project_Cost/Depr_duration</f>
        <v>-1294155.04507814</v>
      </c>
      <c r="R30" s="122" t="n">
        <f aca="false">-(Depr_duration&gt;=R8)*R7*Total_Project_Cost/Depr_duration</f>
        <v>-1294155.04507814</v>
      </c>
      <c r="S30" s="122" t="n">
        <f aca="false">-(Depr_duration&gt;=S8)*S7*Total_Project_Cost/Depr_duration</f>
        <v>-1294155.04507814</v>
      </c>
      <c r="T30" s="122" t="n">
        <f aca="false">-(Depr_duration&gt;=T8)*T7*Total_Project_Cost/Depr_duration</f>
        <v>-1294155.04507814</v>
      </c>
      <c r="U30" s="122" t="n">
        <f aca="false">-(Depr_duration&gt;=U8)*U7*Total_Project_Cost/Depr_duration</f>
        <v>-1294155.04507814</v>
      </c>
      <c r="V30" s="122" t="n">
        <f aca="false">-(Depr_duration&gt;=V8)*V7*Total_Project_Cost/Depr_duration</f>
        <v>-1294155.04507814</v>
      </c>
      <c r="W30" s="122" t="n">
        <f aca="false">-(Depr_duration&gt;=W8)*W7*Total_Project_Cost/Depr_duration</f>
        <v>-1294155.04507814</v>
      </c>
      <c r="X30" s="122" t="n">
        <f aca="false">-(Depr_duration&gt;=X8)*X7*Total_Project_Cost/Depr_duration</f>
        <v>-1294155.04507814</v>
      </c>
      <c r="Y30" s="122" t="n">
        <f aca="false">-(Depr_duration&gt;=Y8)*Y7*Total_Project_Cost/Depr_duration</f>
        <v>-1294155.04507814</v>
      </c>
      <c r="Z30" s="122" t="n">
        <f aca="false">-(Depr_duration&gt;=Z8)*Z7*Total_Project_Cost/Depr_duration</f>
        <v>-1294155.04507814</v>
      </c>
      <c r="AA30" s="122" t="n">
        <f aca="false">-(Depr_duration&gt;=AA8)*AA7*Total_Project_Cost/Depr_duration</f>
        <v>-1294155.04507814</v>
      </c>
      <c r="AB30" s="122" t="n">
        <f aca="false">-(Depr_duration&gt;=AB8)*AB7*Total_Project_Cost/Depr_duration</f>
        <v>-1294155.04507814</v>
      </c>
      <c r="AC30" s="122" t="n">
        <f aca="false">-(Depr_duration&gt;=AC8)*AC7*Total_Project_Cost/Depr_duration</f>
        <v>-1294155.04507814</v>
      </c>
      <c r="AD30" s="122" t="n">
        <f aca="false">-(Depr_duration&gt;=AD8)*AD7*Total_Project_Cost/Depr_duration</f>
        <v>-0</v>
      </c>
      <c r="AE30" s="122" t="n">
        <f aca="false">-(Depr_duration&gt;=AE8)*AE7*Total_Project_Cost/Depr_duration</f>
        <v>-0</v>
      </c>
      <c r="AF30" s="122" t="n">
        <f aca="false">-(Depr_duration&gt;=AF8)*AF7*Total_Project_Cost/Depr_duration</f>
        <v>-0</v>
      </c>
      <c r="AG30" s="122" t="n">
        <f aca="false">-(Depr_duration&gt;=AG8)*AG7*Total_Project_Cost/Depr_duration</f>
        <v>-0</v>
      </c>
      <c r="AH30" s="122" t="n">
        <f aca="false">-(Depr_duration&gt;=AH8)*AH7*Total_Project_Cost/Depr_duration</f>
        <v>-0</v>
      </c>
      <c r="AI30" s="122" t="n">
        <f aca="false">-(Depr_duration&gt;=AI8)*AI7*Total_Project_Cost/Depr_duration</f>
        <v>-0</v>
      </c>
      <c r="AJ30" s="122" t="n">
        <f aca="false">-(Depr_duration&gt;=AJ8)*AJ7*Total_Project_Cost/Depr_duration</f>
        <v>-0</v>
      </c>
      <c r="AK30" s="122" t="n">
        <f aca="false">-(Depr_duration&gt;=AK8)*AK7*Total_Project_Cost/Depr_duration</f>
        <v>-0</v>
      </c>
      <c r="AL30" s="122" t="n">
        <f aca="false">-(Depr_duration&gt;=AL8)*AL7*Total_Project_Cost/Depr_duration</f>
        <v>-0</v>
      </c>
    </row>
    <row r="31" customFormat="false" ht="15" hidden="false" customHeight="false" outlineLevel="0" collapsed="false">
      <c r="C31" s="0" t="s">
        <v>212</v>
      </c>
      <c r="E31" s="104" t="s">
        <v>72</v>
      </c>
      <c r="H31" s="0"/>
      <c r="I31" s="122" t="e">
        <f aca="false">Funding!I244*I7</f>
        <v>#VALUE!</v>
      </c>
      <c r="J31" s="122" t="e">
        <f aca="false">Funding!J244*J7</f>
        <v>#VALUE!</v>
      </c>
      <c r="K31" s="122" t="e">
        <f aca="false">Funding!K244*K7</f>
        <v>#VALUE!</v>
      </c>
      <c r="L31" s="122" t="e">
        <f aca="false">Funding!L244*L7</f>
        <v>#VALUE!</v>
      </c>
      <c r="M31" s="122" t="e">
        <f aca="false">Funding!M244*M7</f>
        <v>#VALUE!</v>
      </c>
      <c r="N31" s="122" t="e">
        <f aca="false">Funding!N244*N7</f>
        <v>#VALUE!</v>
      </c>
      <c r="O31" s="122" t="e">
        <f aca="false">Funding!O244*O7</f>
        <v>#VALUE!</v>
      </c>
      <c r="P31" s="122" t="e">
        <f aca="false">Funding!P244*P7</f>
        <v>#VALUE!</v>
      </c>
      <c r="Q31" s="122" t="e">
        <f aca="false">Funding!Q244*Q7</f>
        <v>#VALUE!</v>
      </c>
      <c r="R31" s="122" t="e">
        <f aca="false">Funding!R244*R7</f>
        <v>#VALUE!</v>
      </c>
      <c r="S31" s="122" t="e">
        <f aca="false">Funding!S244*S7</f>
        <v>#VALUE!</v>
      </c>
      <c r="T31" s="122" t="e">
        <f aca="false">Funding!T244*T7</f>
        <v>#VALUE!</v>
      </c>
      <c r="U31" s="122" t="e">
        <f aca="false">Funding!U244*U7</f>
        <v>#VALUE!</v>
      </c>
      <c r="V31" s="122" t="e">
        <f aca="false">Funding!V244*V7</f>
        <v>#VALUE!</v>
      </c>
      <c r="W31" s="122" t="e">
        <f aca="false">Funding!W244*W7</f>
        <v>#VALUE!</v>
      </c>
      <c r="X31" s="122" t="e">
        <f aca="false">Funding!X244*X7</f>
        <v>#VALUE!</v>
      </c>
      <c r="Y31" s="122" t="e">
        <f aca="false">Funding!Y244*Y7</f>
        <v>#VALUE!</v>
      </c>
      <c r="Z31" s="122" t="e">
        <f aca="false">Funding!Z244*Z7</f>
        <v>#VALUE!</v>
      </c>
      <c r="AA31" s="122" t="e">
        <f aca="false">Funding!AA244*AA7</f>
        <v>#VALUE!</v>
      </c>
      <c r="AB31" s="122" t="e">
        <f aca="false">Funding!AB244*AB7</f>
        <v>#VALUE!</v>
      </c>
      <c r="AC31" s="122" t="e">
        <f aca="false">Funding!AC244*AC7</f>
        <v>#VALUE!</v>
      </c>
      <c r="AD31" s="122" t="e">
        <f aca="false">Funding!AD244*AD7</f>
        <v>#VALUE!</v>
      </c>
      <c r="AE31" s="122" t="e">
        <f aca="false">Funding!AE244*AE7</f>
        <v>#VALUE!</v>
      </c>
      <c r="AF31" s="122" t="e">
        <f aca="false">Funding!AF244*AF7</f>
        <v>#VALUE!</v>
      </c>
      <c r="AG31" s="122" t="e">
        <f aca="false">Funding!AG244*AG7</f>
        <v>#VALUE!</v>
      </c>
      <c r="AH31" s="122" t="e">
        <f aca="false">Funding!AH244*AH7</f>
        <v>#VALUE!</v>
      </c>
      <c r="AI31" s="122" t="e">
        <f aca="false">Funding!AI244*AI7</f>
        <v>#VALUE!</v>
      </c>
      <c r="AJ31" s="122" t="e">
        <f aca="false">Funding!AJ244*AJ7</f>
        <v>#VALUE!</v>
      </c>
      <c r="AK31" s="122" t="e">
        <f aca="false">Funding!AK244*AK7</f>
        <v>#VALUE!</v>
      </c>
      <c r="AL31" s="122" t="e">
        <f aca="false">Funding!AL244*AL7</f>
        <v>#VALUE!</v>
      </c>
    </row>
    <row r="32" customFormat="false" ht="15" hidden="false" customHeight="false" outlineLevel="0" collapsed="false">
      <c r="C32" s="0" t="s">
        <v>213</v>
      </c>
      <c r="E32" s="104" t="s">
        <v>72</v>
      </c>
      <c r="H32" s="0"/>
      <c r="I32" s="122" t="n">
        <f aca="false">Funding!I74+Funding!I130</f>
        <v>0</v>
      </c>
      <c r="J32" s="122" t="e">
        <f aca="false">Funding!J74+Funding!J130</f>
        <v>#VALUE!</v>
      </c>
      <c r="K32" s="122" t="e">
        <f aca="false">Funding!K74+Funding!K130</f>
        <v>#VALUE!</v>
      </c>
      <c r="L32" s="122" t="e">
        <f aca="false">Funding!L74+Funding!L130</f>
        <v>#VALUE!</v>
      </c>
      <c r="M32" s="122" t="e">
        <f aca="false">Funding!M74+Funding!M130</f>
        <v>#VALUE!</v>
      </c>
      <c r="N32" s="122" t="e">
        <f aca="false">Funding!N74+Funding!N130</f>
        <v>#VALUE!</v>
      </c>
      <c r="O32" s="122" t="e">
        <f aca="false">Funding!O74+Funding!O130</f>
        <v>#VALUE!</v>
      </c>
      <c r="P32" s="122" t="e">
        <f aca="false">Funding!P74+Funding!P130</f>
        <v>#VALUE!</v>
      </c>
      <c r="Q32" s="122" t="e">
        <f aca="false">Funding!Q74+Funding!Q130</f>
        <v>#VALUE!</v>
      </c>
      <c r="R32" s="122" t="e">
        <f aca="false">Funding!R74+Funding!R130</f>
        <v>#VALUE!</v>
      </c>
      <c r="S32" s="122" t="e">
        <f aca="false">Funding!S74+Funding!S130</f>
        <v>#VALUE!</v>
      </c>
      <c r="T32" s="122" t="e">
        <f aca="false">Funding!T74+Funding!T130</f>
        <v>#VALUE!</v>
      </c>
      <c r="U32" s="122" t="e">
        <f aca="false">Funding!U74+Funding!U130</f>
        <v>#VALUE!</v>
      </c>
      <c r="V32" s="122" t="e">
        <f aca="false">Funding!V74+Funding!V130</f>
        <v>#VALUE!</v>
      </c>
      <c r="W32" s="122" t="e">
        <f aca="false">Funding!W74+Funding!W130</f>
        <v>#VALUE!</v>
      </c>
      <c r="X32" s="122" t="e">
        <f aca="false">Funding!X74+Funding!X130</f>
        <v>#VALUE!</v>
      </c>
      <c r="Y32" s="122" t="e">
        <f aca="false">Funding!Y74+Funding!Y130</f>
        <v>#VALUE!</v>
      </c>
      <c r="Z32" s="122" t="e">
        <f aca="false">Funding!Z74+Funding!Z130</f>
        <v>#VALUE!</v>
      </c>
      <c r="AA32" s="122" t="e">
        <f aca="false">Funding!AA74+Funding!AA130</f>
        <v>#VALUE!</v>
      </c>
      <c r="AB32" s="122" t="e">
        <f aca="false">Funding!AB74+Funding!AB130</f>
        <v>#VALUE!</v>
      </c>
      <c r="AC32" s="122" t="e">
        <f aca="false">Funding!AC74+Funding!AC130</f>
        <v>#VALUE!</v>
      </c>
      <c r="AD32" s="122" t="e">
        <f aca="false">Funding!AD74+Funding!AD130</f>
        <v>#VALUE!</v>
      </c>
      <c r="AE32" s="122" t="e">
        <f aca="false">Funding!AE74+Funding!AE130</f>
        <v>#VALUE!</v>
      </c>
      <c r="AF32" s="122" t="e">
        <f aca="false">Funding!AF74+Funding!AF130</f>
        <v>#VALUE!</v>
      </c>
      <c r="AG32" s="122" t="e">
        <f aca="false">Funding!AG74+Funding!AG130</f>
        <v>#VALUE!</v>
      </c>
      <c r="AH32" s="122" t="e">
        <f aca="false">Funding!AH74+Funding!AH130</f>
        <v>#VALUE!</v>
      </c>
      <c r="AI32" s="122" t="e">
        <f aca="false">Funding!AI74+Funding!AI130</f>
        <v>#VALUE!</v>
      </c>
      <c r="AJ32" s="122" t="e">
        <f aca="false">Funding!AJ74+Funding!AJ130</f>
        <v>#VALUE!</v>
      </c>
      <c r="AK32" s="122" t="e">
        <f aca="false">Funding!AK74+Funding!AK130</f>
        <v>#VALUE!</v>
      </c>
      <c r="AL32" s="122" t="e">
        <f aca="false">Funding!AL74+Funding!AL130</f>
        <v>#VALUE!</v>
      </c>
    </row>
    <row r="33" customFormat="false" ht="15" hidden="false" customHeight="false" outlineLevel="0" collapsed="false">
      <c r="C33" s="117" t="s">
        <v>204</v>
      </c>
      <c r="D33" s="117"/>
      <c r="E33" s="118" t="s">
        <v>72</v>
      </c>
      <c r="F33" s="117"/>
      <c r="G33" s="117"/>
      <c r="H33" s="119"/>
      <c r="I33" s="120" t="e">
        <f aca="false">SUM(I29:I32)</f>
        <v>#VALUE!</v>
      </c>
      <c r="J33" s="121" t="e">
        <f aca="false">SUM(J29:J32)</f>
        <v>#VALUE!</v>
      </c>
      <c r="K33" s="121" t="e">
        <f aca="false">SUM(K29:K32)</f>
        <v>#VALUE!</v>
      </c>
      <c r="L33" s="121" t="e">
        <f aca="false">SUM(L29:L32)</f>
        <v>#VALUE!</v>
      </c>
      <c r="M33" s="121" t="e">
        <f aca="false">SUM(M29:M32)</f>
        <v>#VALUE!</v>
      </c>
      <c r="N33" s="121" t="e">
        <f aca="false">SUM(N29:N32)</f>
        <v>#VALUE!</v>
      </c>
      <c r="O33" s="121" t="e">
        <f aca="false">SUM(O29:O32)</f>
        <v>#VALUE!</v>
      </c>
      <c r="P33" s="121" t="e">
        <f aca="false">SUM(P29:P32)</f>
        <v>#VALUE!</v>
      </c>
      <c r="Q33" s="121" t="e">
        <f aca="false">SUM(Q29:Q32)</f>
        <v>#VALUE!</v>
      </c>
      <c r="R33" s="121" t="e">
        <f aca="false">SUM(R29:R32)</f>
        <v>#VALUE!</v>
      </c>
      <c r="S33" s="121" t="e">
        <f aca="false">SUM(S29:S32)</f>
        <v>#VALUE!</v>
      </c>
      <c r="T33" s="121" t="e">
        <f aca="false">SUM(T29:T32)</f>
        <v>#VALUE!</v>
      </c>
      <c r="U33" s="121" t="e">
        <f aca="false">SUM(U29:U32)</f>
        <v>#VALUE!</v>
      </c>
      <c r="V33" s="121" t="e">
        <f aca="false">SUM(V29:V32)</f>
        <v>#VALUE!</v>
      </c>
      <c r="W33" s="121" t="e">
        <f aca="false">SUM(W29:W32)</f>
        <v>#VALUE!</v>
      </c>
      <c r="X33" s="121" t="e">
        <f aca="false">SUM(X29:X32)</f>
        <v>#VALUE!</v>
      </c>
      <c r="Y33" s="121" t="e">
        <f aca="false">SUM(Y29:Y32)</f>
        <v>#VALUE!</v>
      </c>
      <c r="Z33" s="121" t="e">
        <f aca="false">SUM(Z29:Z32)</f>
        <v>#VALUE!</v>
      </c>
      <c r="AA33" s="121" t="e">
        <f aca="false">SUM(AA29:AA32)</f>
        <v>#VALUE!</v>
      </c>
      <c r="AB33" s="121" t="e">
        <f aca="false">SUM(AB29:AB32)</f>
        <v>#VALUE!</v>
      </c>
      <c r="AC33" s="121" t="e">
        <f aca="false">SUM(AC29:AC32)</f>
        <v>#VALUE!</v>
      </c>
      <c r="AD33" s="121" t="e">
        <f aca="false">SUM(AD29:AD32)</f>
        <v>#VALUE!</v>
      </c>
      <c r="AE33" s="121" t="e">
        <f aca="false">SUM(AE29:AE32)</f>
        <v>#VALUE!</v>
      </c>
      <c r="AF33" s="121" t="e">
        <f aca="false">SUM(AF29:AF32)</f>
        <v>#VALUE!</v>
      </c>
      <c r="AG33" s="121" t="e">
        <f aca="false">SUM(AG29:AG32)</f>
        <v>#VALUE!</v>
      </c>
      <c r="AH33" s="121" t="e">
        <f aca="false">SUM(AH29:AH32)</f>
        <v>#VALUE!</v>
      </c>
      <c r="AI33" s="121" t="e">
        <f aca="false">SUM(AI29:AI32)</f>
        <v>#VALUE!</v>
      </c>
      <c r="AJ33" s="121" t="e">
        <f aca="false">SUM(AJ29:AJ32)</f>
        <v>#VALUE!</v>
      </c>
      <c r="AK33" s="121" t="e">
        <f aca="false">SUM(AK29:AK32)</f>
        <v>#VALUE!</v>
      </c>
      <c r="AL33" s="121" t="e">
        <f aca="false">SUM(AL29:AL32)</f>
        <v>#VALUE!</v>
      </c>
    </row>
    <row r="35" customFormat="false" ht="15" hidden="false" customHeight="false" outlineLevel="0" collapsed="false">
      <c r="B35" s="2" t="n">
        <f aca="false">(MAX($A$7:B34)+0.1)</f>
        <v>1.2</v>
      </c>
      <c r="C35" s="2" t="s">
        <v>214</v>
      </c>
      <c r="E35" s="0"/>
      <c r="H35" s="0"/>
    </row>
    <row r="36" customFormat="false" ht="15" hidden="false" customHeight="false" outlineLevel="0" collapsed="false">
      <c r="C36" s="0" t="s">
        <v>215</v>
      </c>
      <c r="E36" s="104" t="s">
        <v>72</v>
      </c>
      <c r="H36" s="0"/>
      <c r="I36" s="122" t="n">
        <f aca="false">'Balance Sheet'!I64</f>
        <v>0</v>
      </c>
      <c r="J36" s="122" t="e">
        <f aca="false">'Balance Sheet'!J64</f>
        <v>#VALUE!</v>
      </c>
      <c r="K36" s="122" t="e">
        <f aca="false">'Balance Sheet'!K64</f>
        <v>#VALUE!</v>
      </c>
      <c r="L36" s="122" t="e">
        <f aca="false">'Balance Sheet'!L64</f>
        <v>#VALUE!</v>
      </c>
      <c r="M36" s="122" t="e">
        <f aca="false">'Balance Sheet'!M64</f>
        <v>#VALUE!</v>
      </c>
      <c r="N36" s="122" t="e">
        <f aca="false">'Balance Sheet'!N64</f>
        <v>#VALUE!</v>
      </c>
      <c r="O36" s="122" t="e">
        <f aca="false">'Balance Sheet'!O64</f>
        <v>#VALUE!</v>
      </c>
      <c r="P36" s="122" t="e">
        <f aca="false">'Balance Sheet'!P64</f>
        <v>#VALUE!</v>
      </c>
      <c r="Q36" s="122" t="e">
        <f aca="false">'Balance Sheet'!Q64</f>
        <v>#VALUE!</v>
      </c>
      <c r="R36" s="122" t="e">
        <f aca="false">'Balance Sheet'!R64</f>
        <v>#VALUE!</v>
      </c>
      <c r="S36" s="122" t="e">
        <f aca="false">'Balance Sheet'!S64</f>
        <v>#VALUE!</v>
      </c>
      <c r="T36" s="122" t="e">
        <f aca="false">'Balance Sheet'!T64</f>
        <v>#VALUE!</v>
      </c>
      <c r="U36" s="122" t="e">
        <f aca="false">'Balance Sheet'!U64</f>
        <v>#VALUE!</v>
      </c>
      <c r="V36" s="122" t="e">
        <f aca="false">'Balance Sheet'!V64</f>
        <v>#VALUE!</v>
      </c>
      <c r="W36" s="122" t="e">
        <f aca="false">'Balance Sheet'!W64</f>
        <v>#VALUE!</v>
      </c>
      <c r="X36" s="122" t="e">
        <f aca="false">'Balance Sheet'!X64</f>
        <v>#VALUE!</v>
      </c>
      <c r="Y36" s="122" t="e">
        <f aca="false">'Balance Sheet'!Y64</f>
        <v>#VALUE!</v>
      </c>
      <c r="Z36" s="122" t="e">
        <f aca="false">'Balance Sheet'!Z64</f>
        <v>#VALUE!</v>
      </c>
      <c r="AA36" s="122" t="e">
        <f aca="false">'Balance Sheet'!AA64</f>
        <v>#VALUE!</v>
      </c>
      <c r="AB36" s="122" t="e">
        <f aca="false">'Balance Sheet'!AB64</f>
        <v>#VALUE!</v>
      </c>
      <c r="AC36" s="122" t="e">
        <f aca="false">'Balance Sheet'!AC64</f>
        <v>#VALUE!</v>
      </c>
      <c r="AD36" s="122" t="e">
        <f aca="false">'Balance Sheet'!AD64</f>
        <v>#VALUE!</v>
      </c>
      <c r="AE36" s="122" t="e">
        <f aca="false">'Balance Sheet'!AE64</f>
        <v>#VALUE!</v>
      </c>
      <c r="AF36" s="122" t="e">
        <f aca="false">'Balance Sheet'!AF64</f>
        <v>#VALUE!</v>
      </c>
      <c r="AG36" s="122" t="e">
        <f aca="false">'Balance Sheet'!AG64</f>
        <v>#VALUE!</v>
      </c>
      <c r="AH36" s="122" t="e">
        <f aca="false">'Balance Sheet'!AH64</f>
        <v>#VALUE!</v>
      </c>
      <c r="AI36" s="122" t="e">
        <f aca="false">'Balance Sheet'!AI64</f>
        <v>#VALUE!</v>
      </c>
      <c r="AJ36" s="122" t="e">
        <f aca="false">'Balance Sheet'!AJ64</f>
        <v>#VALUE!</v>
      </c>
      <c r="AK36" s="122" t="e">
        <f aca="false">'Balance Sheet'!AK64</f>
        <v>#VALUE!</v>
      </c>
      <c r="AL36" s="122" t="e">
        <f aca="false">'Balance Sheet'!AL64</f>
        <v>#VALUE!</v>
      </c>
    </row>
    <row r="37" customFormat="false" ht="15" hidden="false" customHeight="false" outlineLevel="0" collapsed="false">
      <c r="E37" s="0"/>
      <c r="H37" s="0"/>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row>
    <row r="38" customFormat="false" ht="15" hidden="false" customHeight="false" outlineLevel="0" collapsed="false">
      <c r="C38" s="0" t="s">
        <v>216</v>
      </c>
      <c r="E38" s="104" t="s">
        <v>72</v>
      </c>
      <c r="H38" s="0"/>
      <c r="I38" s="114" t="e">
        <f aca="false">I33-I32+I36</f>
        <v>#VALUE!</v>
      </c>
      <c r="J38" s="114" t="e">
        <f aca="false">J33-J32+J36</f>
        <v>#VALUE!</v>
      </c>
      <c r="K38" s="114" t="e">
        <f aca="false">K33-K32+K36</f>
        <v>#VALUE!</v>
      </c>
      <c r="L38" s="114" t="e">
        <f aca="false">L33-L32+L36</f>
        <v>#VALUE!</v>
      </c>
      <c r="M38" s="114" t="e">
        <f aca="false">M33-M32+M36</f>
        <v>#VALUE!</v>
      </c>
      <c r="N38" s="114" t="e">
        <f aca="false">N33-N32+N36</f>
        <v>#VALUE!</v>
      </c>
      <c r="O38" s="114" t="e">
        <f aca="false">O33-O32+O36</f>
        <v>#VALUE!</v>
      </c>
      <c r="P38" s="114" t="e">
        <f aca="false">P33-P32+P36</f>
        <v>#VALUE!</v>
      </c>
      <c r="Q38" s="114" t="e">
        <f aca="false">Q33-Q32+Q36</f>
        <v>#VALUE!</v>
      </c>
      <c r="R38" s="114" t="e">
        <f aca="false">R33-R32+R36</f>
        <v>#VALUE!</v>
      </c>
      <c r="S38" s="114" t="e">
        <f aca="false">S33-S32+S36</f>
        <v>#VALUE!</v>
      </c>
      <c r="T38" s="114" t="e">
        <f aca="false">T33-T32+T36</f>
        <v>#VALUE!</v>
      </c>
      <c r="U38" s="114" t="e">
        <f aca="false">U33-U32+U36</f>
        <v>#VALUE!</v>
      </c>
      <c r="V38" s="114" t="e">
        <f aca="false">V33-V32+V36</f>
        <v>#VALUE!</v>
      </c>
      <c r="W38" s="114" t="e">
        <f aca="false">W33-W32+W36</f>
        <v>#VALUE!</v>
      </c>
      <c r="X38" s="114" t="e">
        <f aca="false">X33-X32+X36</f>
        <v>#VALUE!</v>
      </c>
      <c r="Y38" s="114" t="e">
        <f aca="false">Y33-Y32+Y36</f>
        <v>#VALUE!</v>
      </c>
      <c r="Z38" s="114" t="e">
        <f aca="false">Z33-Z32+Z36</f>
        <v>#VALUE!</v>
      </c>
      <c r="AA38" s="114" t="e">
        <f aca="false">AA33-AA32+AA36</f>
        <v>#VALUE!</v>
      </c>
      <c r="AB38" s="114" t="e">
        <f aca="false">AB33-AB32+AB36</f>
        <v>#VALUE!</v>
      </c>
      <c r="AC38" s="114" t="e">
        <f aca="false">AC33-AC32+AC36</f>
        <v>#VALUE!</v>
      </c>
      <c r="AD38" s="114" t="e">
        <f aca="false">AD33-AD32+AD36</f>
        <v>#VALUE!</v>
      </c>
      <c r="AE38" s="114" t="e">
        <f aca="false">AE33-AE32+AE36</f>
        <v>#VALUE!</v>
      </c>
      <c r="AF38" s="114" t="e">
        <f aca="false">AF33-AF32+AF36</f>
        <v>#VALUE!</v>
      </c>
      <c r="AG38" s="114" t="e">
        <f aca="false">AG33-AG32+AG36</f>
        <v>#VALUE!</v>
      </c>
      <c r="AH38" s="114" t="e">
        <f aca="false">AH33-AH32+AH36</f>
        <v>#VALUE!</v>
      </c>
      <c r="AI38" s="114" t="e">
        <f aca="false">AI33-AI32+AI36</f>
        <v>#VALUE!</v>
      </c>
      <c r="AJ38" s="114" t="e">
        <f aca="false">AJ33-AJ32+AJ36</f>
        <v>#VALUE!</v>
      </c>
      <c r="AK38" s="114" t="e">
        <f aca="false">AK33-AK32+AK36</f>
        <v>#VALUE!</v>
      </c>
      <c r="AL38" s="114" t="e">
        <f aca="false">AL33-AL32+AL36</f>
        <v>#VALUE!</v>
      </c>
    </row>
    <row r="39" customFormat="false" ht="15" hidden="false" customHeight="false" outlineLevel="0" collapsed="false">
      <c r="C39" s="0" t="s">
        <v>217</v>
      </c>
      <c r="E39" s="104" t="s">
        <v>72</v>
      </c>
      <c r="H39" s="0"/>
      <c r="I39" s="114" t="e">
        <f aca="false">'Balance Sheet'!I71</f>
        <v>#VALUE!</v>
      </c>
      <c r="J39" s="114" t="e">
        <f aca="false">'Balance Sheet'!J71</f>
        <v>#VALUE!</v>
      </c>
      <c r="K39" s="114" t="e">
        <f aca="false">'Balance Sheet'!K71</f>
        <v>#VALUE!</v>
      </c>
      <c r="L39" s="114" t="e">
        <f aca="false">'Balance Sheet'!L71</f>
        <v>#VALUE!</v>
      </c>
      <c r="M39" s="114" t="e">
        <f aca="false">'Balance Sheet'!M71</f>
        <v>#VALUE!</v>
      </c>
      <c r="N39" s="114" t="e">
        <f aca="false">'Balance Sheet'!N71</f>
        <v>#VALUE!</v>
      </c>
      <c r="O39" s="114" t="e">
        <f aca="false">'Balance Sheet'!O71</f>
        <v>#VALUE!</v>
      </c>
      <c r="P39" s="114" t="e">
        <f aca="false">'Balance Sheet'!P71</f>
        <v>#VALUE!</v>
      </c>
      <c r="Q39" s="114" t="e">
        <f aca="false">'Balance Sheet'!Q71</f>
        <v>#VALUE!</v>
      </c>
      <c r="R39" s="114" t="e">
        <f aca="false">'Balance Sheet'!R71</f>
        <v>#VALUE!</v>
      </c>
      <c r="S39" s="114" t="e">
        <f aca="false">'Balance Sheet'!S71</f>
        <v>#VALUE!</v>
      </c>
      <c r="T39" s="114" t="e">
        <f aca="false">'Balance Sheet'!T71</f>
        <v>#VALUE!</v>
      </c>
      <c r="U39" s="114" t="e">
        <f aca="false">'Balance Sheet'!U71</f>
        <v>#VALUE!</v>
      </c>
      <c r="V39" s="114" t="e">
        <f aca="false">'Balance Sheet'!V71</f>
        <v>#VALUE!</v>
      </c>
      <c r="W39" s="114" t="e">
        <f aca="false">'Balance Sheet'!W71</f>
        <v>#VALUE!</v>
      </c>
      <c r="X39" s="114" t="e">
        <f aca="false">'Balance Sheet'!X71</f>
        <v>#VALUE!</v>
      </c>
      <c r="Y39" s="114" t="e">
        <f aca="false">'Balance Sheet'!Y71</f>
        <v>#VALUE!</v>
      </c>
      <c r="Z39" s="114" t="e">
        <f aca="false">'Balance Sheet'!Z71</f>
        <v>#VALUE!</v>
      </c>
      <c r="AA39" s="114" t="e">
        <f aca="false">'Balance Sheet'!AA71</f>
        <v>#VALUE!</v>
      </c>
      <c r="AB39" s="114" t="e">
        <f aca="false">'Balance Sheet'!AB71</f>
        <v>#VALUE!</v>
      </c>
      <c r="AC39" s="114" t="e">
        <f aca="false">'Balance Sheet'!AC71</f>
        <v>#VALUE!</v>
      </c>
      <c r="AD39" s="114" t="e">
        <f aca="false">'Balance Sheet'!AD71</f>
        <v>#VALUE!</v>
      </c>
      <c r="AE39" s="114" t="e">
        <f aca="false">'Balance Sheet'!AE71</f>
        <v>#VALUE!</v>
      </c>
      <c r="AF39" s="114" t="e">
        <f aca="false">'Balance Sheet'!AF71</f>
        <v>#VALUE!</v>
      </c>
      <c r="AG39" s="114" t="e">
        <f aca="false">'Balance Sheet'!AG71</f>
        <v>#VALUE!</v>
      </c>
      <c r="AH39" s="114" t="e">
        <f aca="false">'Balance Sheet'!AH71</f>
        <v>#VALUE!</v>
      </c>
      <c r="AI39" s="114" t="e">
        <f aca="false">'Balance Sheet'!AI71</f>
        <v>#VALUE!</v>
      </c>
      <c r="AJ39" s="114" t="e">
        <f aca="false">'Balance Sheet'!AJ71</f>
        <v>#VALUE!</v>
      </c>
      <c r="AK39" s="114" t="e">
        <f aca="false">'Balance Sheet'!AK71</f>
        <v>#VALUE!</v>
      </c>
      <c r="AL39" s="114" t="e">
        <f aca="false">'Balance Sheet'!AL71</f>
        <v>#VALUE!</v>
      </c>
    </row>
    <row r="40" customFormat="false" ht="15" hidden="false" customHeight="false" outlineLevel="0" collapsed="false">
      <c r="C40" s="117" t="s">
        <v>218</v>
      </c>
      <c r="D40" s="117"/>
      <c r="E40" s="118" t="s">
        <v>72</v>
      </c>
      <c r="F40" s="117"/>
      <c r="G40" s="117"/>
      <c r="H40" s="119"/>
      <c r="I40" s="125" t="e">
        <f aca="false">MAX(SUM(I38:I39),0)</f>
        <v>#VALUE!</v>
      </c>
      <c r="J40" s="125" t="e">
        <f aca="false">MAX(SUM(J38:J39),0)</f>
        <v>#VALUE!</v>
      </c>
      <c r="K40" s="125" t="e">
        <f aca="false">MAX(SUM(K38:K39),0)</f>
        <v>#VALUE!</v>
      </c>
      <c r="L40" s="125" t="e">
        <f aca="false">MAX(SUM(L38:L39),0)</f>
        <v>#VALUE!</v>
      </c>
      <c r="M40" s="125" t="e">
        <f aca="false">MAX(SUM(M38:M39),0)</f>
        <v>#VALUE!</v>
      </c>
      <c r="N40" s="125" t="e">
        <f aca="false">MAX(SUM(N38:N39),0)</f>
        <v>#VALUE!</v>
      </c>
      <c r="O40" s="125" t="e">
        <f aca="false">MAX(SUM(O38:O39),0)</f>
        <v>#VALUE!</v>
      </c>
      <c r="P40" s="125" t="e">
        <f aca="false">MAX(SUM(P38:P39),0)</f>
        <v>#VALUE!</v>
      </c>
      <c r="Q40" s="125" t="e">
        <f aca="false">MAX(SUM(Q38:Q39),0)</f>
        <v>#VALUE!</v>
      </c>
      <c r="R40" s="125" t="e">
        <f aca="false">MAX(SUM(R38:R39),0)</f>
        <v>#VALUE!</v>
      </c>
      <c r="S40" s="125" t="e">
        <f aca="false">MAX(SUM(S38:S39),0)</f>
        <v>#VALUE!</v>
      </c>
      <c r="T40" s="125" t="e">
        <f aca="false">MAX(SUM(T38:T39),0)</f>
        <v>#VALUE!</v>
      </c>
      <c r="U40" s="125" t="e">
        <f aca="false">MAX(SUM(U38:U39),0)</f>
        <v>#VALUE!</v>
      </c>
      <c r="V40" s="125" t="e">
        <f aca="false">MAX(SUM(V38:V39),0)</f>
        <v>#VALUE!</v>
      </c>
      <c r="W40" s="125" t="e">
        <f aca="false">MAX(SUM(W38:W39),0)</f>
        <v>#VALUE!</v>
      </c>
      <c r="X40" s="125" t="e">
        <f aca="false">MAX(SUM(X38:X39),0)</f>
        <v>#VALUE!</v>
      </c>
      <c r="Y40" s="125" t="e">
        <f aca="false">MAX(SUM(Y38:Y39),0)</f>
        <v>#VALUE!</v>
      </c>
      <c r="Z40" s="125" t="e">
        <f aca="false">MAX(SUM(Z38:Z39),0)</f>
        <v>#VALUE!</v>
      </c>
      <c r="AA40" s="125" t="e">
        <f aca="false">MAX(SUM(AA38:AA39),0)</f>
        <v>#VALUE!</v>
      </c>
      <c r="AB40" s="125" t="e">
        <f aca="false">MAX(SUM(AB38:AB39),0)</f>
        <v>#VALUE!</v>
      </c>
      <c r="AC40" s="125" t="e">
        <f aca="false">MAX(SUM(AC38:AC39),0)</f>
        <v>#VALUE!</v>
      </c>
      <c r="AD40" s="125" t="e">
        <f aca="false">MAX(SUM(AD38:AD39),0)</f>
        <v>#VALUE!</v>
      </c>
      <c r="AE40" s="125" t="e">
        <f aca="false">MAX(SUM(AE38:AE39),0)</f>
        <v>#VALUE!</v>
      </c>
      <c r="AF40" s="125" t="e">
        <f aca="false">MAX(SUM(AF38:AF39),0)</f>
        <v>#VALUE!</v>
      </c>
      <c r="AG40" s="125" t="e">
        <f aca="false">MAX(SUM(AG38:AG39),0)</f>
        <v>#VALUE!</v>
      </c>
      <c r="AH40" s="125" t="e">
        <f aca="false">MAX(SUM(AH38:AH39),0)</f>
        <v>#VALUE!</v>
      </c>
      <c r="AI40" s="125" t="e">
        <f aca="false">MAX(SUM(AI38:AI39),0)</f>
        <v>#VALUE!</v>
      </c>
      <c r="AJ40" s="125" t="e">
        <f aca="false">MAX(SUM(AJ38:AJ39),0)</f>
        <v>#VALUE!</v>
      </c>
      <c r="AK40" s="125" t="e">
        <f aca="false">MAX(SUM(AK38:AK39),0)</f>
        <v>#VALUE!</v>
      </c>
      <c r="AL40" s="125" t="e">
        <f aca="false">MAX(SUM(AL38:AL39),0)</f>
        <v>#VALUE!</v>
      </c>
    </row>
    <row r="41" customFormat="false" ht="15" hidden="false" customHeight="false" outlineLevel="0" collapsed="false">
      <c r="E41" s="0"/>
      <c r="H41" s="0"/>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row>
    <row r="42" customFormat="false" ht="15" hidden="false" customHeight="false" outlineLevel="0" collapsed="false">
      <c r="C42" s="0" t="s">
        <v>219</v>
      </c>
      <c r="E42" s="104" t="s">
        <v>72</v>
      </c>
      <c r="H42" s="0"/>
      <c r="I42" s="122" t="e">
        <f aca="false">-MAX(I40,0)*Income_Tax*(Tax_Holiday_Period&lt;I8)</f>
        <v>#VALUE!</v>
      </c>
      <c r="J42" s="122" t="e">
        <f aca="false">-MAX(J40,0)*Income_Tax*(Tax_Holiday_Period&lt;J8)</f>
        <v>#VALUE!</v>
      </c>
      <c r="K42" s="122" t="e">
        <f aca="false">-MAX(K40,0)*Income_Tax*(Tax_Holiday_Period&lt;K8)</f>
        <v>#VALUE!</v>
      </c>
      <c r="L42" s="122" t="e">
        <f aca="false">-MAX(L40,0)*Income_Tax*(Tax_Holiday_Period&lt;L8)</f>
        <v>#VALUE!</v>
      </c>
      <c r="M42" s="122" t="e">
        <f aca="false">-MAX(M40,0)*Income_Tax*(Tax_Holiday_Period&lt;M8)</f>
        <v>#VALUE!</v>
      </c>
      <c r="N42" s="122" t="e">
        <f aca="false">-MAX(N40,0)*Income_Tax*(Tax_Holiday_Period&lt;N8)</f>
        <v>#VALUE!</v>
      </c>
      <c r="O42" s="122" t="e">
        <f aca="false">-MAX(O40,0)*Income_Tax*(Tax_Holiday_Period&lt;O8)</f>
        <v>#VALUE!</v>
      </c>
      <c r="P42" s="122" t="e">
        <f aca="false">-MAX(P40,0)*Income_Tax*(Tax_Holiday_Period&lt;P8)</f>
        <v>#VALUE!</v>
      </c>
      <c r="Q42" s="122" t="e">
        <f aca="false">-MAX(Q40,0)*Income_Tax*(Tax_Holiday_Period&lt;Q8)</f>
        <v>#VALUE!</v>
      </c>
      <c r="R42" s="122" t="e">
        <f aca="false">-MAX(R40,0)*Income_Tax*(Tax_Holiday_Period&lt;R8)</f>
        <v>#VALUE!</v>
      </c>
      <c r="S42" s="122" t="e">
        <f aca="false">-MAX(S40,0)*Income_Tax*(Tax_Holiday_Period&lt;S8)</f>
        <v>#VALUE!</v>
      </c>
      <c r="T42" s="122" t="e">
        <f aca="false">-MAX(T40,0)*Income_Tax*(Tax_Holiday_Period&lt;T8)</f>
        <v>#VALUE!</v>
      </c>
      <c r="U42" s="122" t="e">
        <f aca="false">-MAX(U40,0)*Income_Tax*(Tax_Holiday_Period&lt;U8)</f>
        <v>#VALUE!</v>
      </c>
      <c r="V42" s="122" t="e">
        <f aca="false">-MAX(V40,0)*Income_Tax*(Tax_Holiday_Period&lt;V8)</f>
        <v>#VALUE!</v>
      </c>
      <c r="W42" s="122" t="e">
        <f aca="false">-MAX(W40,0)*Income_Tax*(Tax_Holiday_Period&lt;W8)</f>
        <v>#VALUE!</v>
      </c>
      <c r="X42" s="122" t="e">
        <f aca="false">-MAX(X40,0)*Income_Tax*(Tax_Holiday_Period&lt;X8)</f>
        <v>#VALUE!</v>
      </c>
      <c r="Y42" s="122" t="e">
        <f aca="false">-MAX(Y40,0)*Income_Tax*(Tax_Holiday_Period&lt;Y8)</f>
        <v>#VALUE!</v>
      </c>
      <c r="Z42" s="122" t="e">
        <f aca="false">-MAX(Z40,0)*Income_Tax*(Tax_Holiday_Period&lt;Z8)</f>
        <v>#VALUE!</v>
      </c>
      <c r="AA42" s="122" t="e">
        <f aca="false">-MAX(AA40,0)*Income_Tax*(Tax_Holiday_Period&lt;AA8)</f>
        <v>#VALUE!</v>
      </c>
      <c r="AB42" s="122" t="e">
        <f aca="false">-MAX(AB40,0)*Income_Tax*(Tax_Holiday_Period&lt;AB8)</f>
        <v>#VALUE!</v>
      </c>
      <c r="AC42" s="122" t="e">
        <f aca="false">-MAX(AC40,0)*Income_Tax*(Tax_Holiday_Period&lt;AC8)</f>
        <v>#VALUE!</v>
      </c>
      <c r="AD42" s="122" t="e">
        <f aca="false">-MAX(AD40,0)*Income_Tax*(Tax_Holiday_Period&lt;AD8)</f>
        <v>#VALUE!</v>
      </c>
      <c r="AE42" s="122" t="e">
        <f aca="false">-MAX(AE40,0)*Income_Tax*(Tax_Holiday_Period&lt;AE8)</f>
        <v>#VALUE!</v>
      </c>
      <c r="AF42" s="122" t="e">
        <f aca="false">-MAX(AF40,0)*Income_Tax*(Tax_Holiday_Period&lt;AF8)</f>
        <v>#VALUE!</v>
      </c>
      <c r="AG42" s="122" t="e">
        <f aca="false">-MAX(AG40,0)*Income_Tax*(Tax_Holiday_Period&lt;AG8)</f>
        <v>#VALUE!</v>
      </c>
      <c r="AH42" s="122" t="e">
        <f aca="false">-MAX(AH40,0)*Income_Tax*(Tax_Holiday_Period&lt;AH8)</f>
        <v>#VALUE!</v>
      </c>
      <c r="AI42" s="122" t="e">
        <f aca="false">-MAX(AI40,0)*Income_Tax*(Tax_Holiday_Period&lt;AI8)</f>
        <v>#VALUE!</v>
      </c>
      <c r="AJ42" s="122" t="e">
        <f aca="false">-MAX(AJ40,0)*Income_Tax*(Tax_Holiday_Period&lt;AJ8)</f>
        <v>#VALUE!</v>
      </c>
      <c r="AK42" s="122" t="e">
        <f aca="false">-MAX(AK40,0)*Income_Tax*(Tax_Holiday_Period&lt;AK8)</f>
        <v>#VALUE!</v>
      </c>
      <c r="AL42" s="122" t="e">
        <f aca="false">-MAX(AL40,0)*Income_Tax*(Tax_Holiday_Period&lt;AL8)</f>
        <v>#VALUE!</v>
      </c>
    </row>
    <row r="43" customFormat="false" ht="15" hidden="false" customHeight="false" outlineLevel="0" collapsed="false">
      <c r="C43" s="117" t="s">
        <v>220</v>
      </c>
      <c r="D43" s="117"/>
      <c r="E43" s="118" t="s">
        <v>72</v>
      </c>
      <c r="F43" s="117"/>
      <c r="G43" s="117"/>
      <c r="H43" s="119"/>
      <c r="I43" s="120" t="e">
        <f aca="false">I33+I42</f>
        <v>#VALUE!</v>
      </c>
      <c r="J43" s="121" t="e">
        <f aca="false">J33+J42</f>
        <v>#VALUE!</v>
      </c>
      <c r="K43" s="121" t="e">
        <f aca="false">K33+K42</f>
        <v>#VALUE!</v>
      </c>
      <c r="L43" s="121" t="e">
        <f aca="false">L33+L42</f>
        <v>#VALUE!</v>
      </c>
      <c r="M43" s="121" t="e">
        <f aca="false">M33+M42</f>
        <v>#VALUE!</v>
      </c>
      <c r="N43" s="121" t="e">
        <f aca="false">N33+N42</f>
        <v>#VALUE!</v>
      </c>
      <c r="O43" s="121" t="e">
        <f aca="false">O33+O42</f>
        <v>#VALUE!</v>
      </c>
      <c r="P43" s="121" t="e">
        <f aca="false">P33+P42</f>
        <v>#VALUE!</v>
      </c>
      <c r="Q43" s="121" t="e">
        <f aca="false">Q33+Q42</f>
        <v>#VALUE!</v>
      </c>
      <c r="R43" s="121" t="e">
        <f aca="false">R33+R42</f>
        <v>#VALUE!</v>
      </c>
      <c r="S43" s="121" t="e">
        <f aca="false">S33+S42</f>
        <v>#VALUE!</v>
      </c>
      <c r="T43" s="121" t="e">
        <f aca="false">T33+T42</f>
        <v>#VALUE!</v>
      </c>
      <c r="U43" s="121" t="e">
        <f aca="false">U33+U42</f>
        <v>#VALUE!</v>
      </c>
      <c r="V43" s="121" t="e">
        <f aca="false">V33+V42</f>
        <v>#VALUE!</v>
      </c>
      <c r="W43" s="121" t="e">
        <f aca="false">W33+W42</f>
        <v>#VALUE!</v>
      </c>
      <c r="X43" s="121" t="e">
        <f aca="false">X33+X42</f>
        <v>#VALUE!</v>
      </c>
      <c r="Y43" s="121" t="e">
        <f aca="false">Y33+Y42</f>
        <v>#VALUE!</v>
      </c>
      <c r="Z43" s="121" t="e">
        <f aca="false">Z33+Z42</f>
        <v>#VALUE!</v>
      </c>
      <c r="AA43" s="121" t="e">
        <f aca="false">AA33+AA42</f>
        <v>#VALUE!</v>
      </c>
      <c r="AB43" s="121" t="e">
        <f aca="false">AB33+AB42</f>
        <v>#VALUE!</v>
      </c>
      <c r="AC43" s="121" t="e">
        <f aca="false">AC33+AC42</f>
        <v>#VALUE!</v>
      </c>
      <c r="AD43" s="121" t="e">
        <f aca="false">AD33+AD42</f>
        <v>#VALUE!</v>
      </c>
      <c r="AE43" s="121" t="e">
        <f aca="false">AE33+AE42</f>
        <v>#VALUE!</v>
      </c>
      <c r="AF43" s="121" t="e">
        <f aca="false">AF33+AF42</f>
        <v>#VALUE!</v>
      </c>
      <c r="AG43" s="121" t="e">
        <f aca="false">AG33+AG42</f>
        <v>#VALUE!</v>
      </c>
      <c r="AH43" s="121" t="e">
        <f aca="false">AH33+AH42</f>
        <v>#VALUE!</v>
      </c>
      <c r="AI43" s="121" t="e">
        <f aca="false">AI33+AI42</f>
        <v>#VALUE!</v>
      </c>
      <c r="AJ43" s="121" t="e">
        <f aca="false">AJ33+AJ42</f>
        <v>#VALUE!</v>
      </c>
      <c r="AK43" s="121" t="e">
        <f aca="false">AK33+AK42</f>
        <v>#VALUE!</v>
      </c>
      <c r="AL43" s="121" t="e">
        <f aca="false">AL33+AL42</f>
        <v>#VALUE!</v>
      </c>
    </row>
    <row r="45" s="30" customFormat="true" ht="16.9" hidden="false" customHeight="true" outlineLevel="0" collapsed="false">
      <c r="A45" s="30" t="n">
        <f aca="false">COUNT($A$6:A44)+1</f>
        <v>2</v>
      </c>
      <c r="C45" s="30" t="s">
        <v>221</v>
      </c>
      <c r="E45" s="31"/>
      <c r="H45" s="112"/>
    </row>
    <row r="46" customFormat="false" ht="15" hidden="false" customHeight="false" outlineLevel="0" collapsed="false">
      <c r="E46" s="0"/>
      <c r="H46" s="0"/>
    </row>
    <row r="47" customFormat="false" ht="15" hidden="false" customHeight="false" outlineLevel="0" collapsed="false">
      <c r="C47" s="0" t="s">
        <v>222</v>
      </c>
      <c r="E47" s="0"/>
      <c r="H47" s="0"/>
      <c r="I47" s="114" t="n">
        <f aca="false">H105</f>
        <v>0</v>
      </c>
      <c r="J47" s="114" t="e">
        <f aca="false">I105</f>
        <v>#VALUE!</v>
      </c>
      <c r="K47" s="114" t="e">
        <f aca="false">J105</f>
        <v>#VALUE!</v>
      </c>
      <c r="L47" s="114" t="e">
        <f aca="false">K105</f>
        <v>#VALUE!</v>
      </c>
      <c r="M47" s="114" t="e">
        <f aca="false">L105</f>
        <v>#VALUE!</v>
      </c>
      <c r="N47" s="114" t="e">
        <f aca="false">M105</f>
        <v>#VALUE!</v>
      </c>
      <c r="O47" s="114" t="e">
        <f aca="false">N105</f>
        <v>#VALUE!</v>
      </c>
      <c r="P47" s="114" t="e">
        <f aca="false">O105</f>
        <v>#VALUE!</v>
      </c>
      <c r="Q47" s="114" t="e">
        <f aca="false">P105</f>
        <v>#VALUE!</v>
      </c>
      <c r="R47" s="114" t="e">
        <f aca="false">Q105</f>
        <v>#VALUE!</v>
      </c>
      <c r="S47" s="114" t="e">
        <f aca="false">R105</f>
        <v>#VALUE!</v>
      </c>
      <c r="T47" s="114" t="e">
        <f aca="false">S105</f>
        <v>#VALUE!</v>
      </c>
      <c r="U47" s="114" t="e">
        <f aca="false">T105</f>
        <v>#VALUE!</v>
      </c>
      <c r="V47" s="114" t="e">
        <f aca="false">U105</f>
        <v>#VALUE!</v>
      </c>
      <c r="W47" s="114" t="e">
        <f aca="false">V105</f>
        <v>#VALUE!</v>
      </c>
      <c r="X47" s="114" t="e">
        <f aca="false">W105</f>
        <v>#VALUE!</v>
      </c>
      <c r="Y47" s="114" t="e">
        <f aca="false">X105</f>
        <v>#VALUE!</v>
      </c>
      <c r="Z47" s="114" t="e">
        <f aca="false">Y105</f>
        <v>#VALUE!</v>
      </c>
      <c r="AA47" s="114" t="e">
        <f aca="false">Z105</f>
        <v>#VALUE!</v>
      </c>
      <c r="AB47" s="114" t="e">
        <f aca="false">AA105</f>
        <v>#VALUE!</v>
      </c>
      <c r="AC47" s="114" t="e">
        <f aca="false">AB105</f>
        <v>#VALUE!</v>
      </c>
      <c r="AD47" s="114" t="e">
        <f aca="false">AC105</f>
        <v>#VALUE!</v>
      </c>
      <c r="AE47" s="114" t="e">
        <f aca="false">AD105</f>
        <v>#VALUE!</v>
      </c>
      <c r="AF47" s="114" t="e">
        <f aca="false">AE105</f>
        <v>#VALUE!</v>
      </c>
      <c r="AG47" s="114" t="e">
        <f aca="false">AF105</f>
        <v>#VALUE!</v>
      </c>
      <c r="AH47" s="114" t="e">
        <f aca="false">AG105</f>
        <v>#VALUE!</v>
      </c>
      <c r="AI47" s="114" t="e">
        <f aca="false">AH105</f>
        <v>#VALUE!</v>
      </c>
      <c r="AJ47" s="114" t="e">
        <f aca="false">AI105</f>
        <v>#VALUE!</v>
      </c>
      <c r="AK47" s="114" t="e">
        <f aca="false">AJ105</f>
        <v>#VALUE!</v>
      </c>
      <c r="AL47" s="114" t="e">
        <f aca="false">AK105</f>
        <v>#VALUE!</v>
      </c>
    </row>
    <row r="49" customFormat="false" ht="15" hidden="false" customHeight="false" outlineLevel="0" collapsed="false">
      <c r="B49" s="2" t="n">
        <f aca="false">(MAX($A$7:B46)+0.1)</f>
        <v>2.1</v>
      </c>
      <c r="C49" s="2" t="s">
        <v>223</v>
      </c>
      <c r="E49" s="0"/>
      <c r="H49" s="0"/>
    </row>
    <row r="50" customFormat="false" ht="15" hidden="false" customHeight="false" outlineLevel="0" collapsed="false">
      <c r="C50" s="0" t="s">
        <v>211</v>
      </c>
      <c r="E50" s="104" t="s">
        <v>72</v>
      </c>
      <c r="H50" s="0"/>
      <c r="I50" s="114" t="n">
        <f aca="false">I29</f>
        <v>0</v>
      </c>
      <c r="J50" s="114" t="n">
        <f aca="false">J29</f>
        <v>3816711.31788744</v>
      </c>
      <c r="K50" s="114" t="n">
        <f aca="false">K29</f>
        <v>3786632.511298</v>
      </c>
      <c r="L50" s="114" t="n">
        <f aca="false">L29</f>
        <v>3756374.24124151</v>
      </c>
      <c r="M50" s="114" t="n">
        <f aca="false">M29</f>
        <v>3725927.5093103</v>
      </c>
      <c r="N50" s="114" t="n">
        <f aca="false">N29</f>
        <v>3695283.065217</v>
      </c>
      <c r="O50" s="114" t="n">
        <f aca="false">O29</f>
        <v>3664431.39914776</v>
      </c>
      <c r="P50" s="114" t="n">
        <f aca="false">P29</f>
        <v>3633362.73388658</v>
      </c>
      <c r="Q50" s="114" t="n">
        <f aca="false">Q29</f>
        <v>3602067.01670374</v>
      </c>
      <c r="R50" s="114" t="n">
        <f aca="false">R29</f>
        <v>3570533.9110014</v>
      </c>
      <c r="S50" s="114" t="n">
        <f aca="false">S29</f>
        <v>3538752.78770902</v>
      </c>
      <c r="T50" s="114" t="n">
        <f aca="false">T29</f>
        <v>3506712.71642098</v>
      </c>
      <c r="U50" s="114" t="n">
        <f aca="false">U29</f>
        <v>3474402.45626889</v>
      </c>
      <c r="V50" s="114" t="n">
        <f aca="false">V29</f>
        <v>3441810.44652046</v>
      </c>
      <c r="W50" s="114" t="n">
        <f aca="false">W29</f>
        <v>3408924.79689676</v>
      </c>
      <c r="X50" s="114" t="n">
        <f aca="false">X29</f>
        <v>3375733.27759945</v>
      </c>
      <c r="Y50" s="114" t="n">
        <f aca="false">Y29</f>
        <v>3342223.30903924</v>
      </c>
      <c r="Z50" s="114" t="n">
        <f aca="false">Z29</f>
        <v>3308381.95125666</v>
      </c>
      <c r="AA50" s="114" t="n">
        <f aca="false">AA29</f>
        <v>3274195.89302588</v>
      </c>
      <c r="AB50" s="114" t="n">
        <f aca="false">AB29</f>
        <v>3239651.44063201</v>
      </c>
      <c r="AC50" s="114" t="n">
        <f aca="false">AC29</f>
        <v>3204734.50631226</v>
      </c>
      <c r="AD50" s="114" t="n">
        <f aca="false">AD29</f>
        <v>0</v>
      </c>
      <c r="AE50" s="114" t="n">
        <f aca="false">AE29</f>
        <v>0</v>
      </c>
      <c r="AF50" s="114" t="n">
        <f aca="false">AF29</f>
        <v>0</v>
      </c>
      <c r="AG50" s="114" t="n">
        <f aca="false">AG29</f>
        <v>0</v>
      </c>
      <c r="AH50" s="114" t="n">
        <f aca="false">AH29</f>
        <v>0</v>
      </c>
      <c r="AI50" s="114" t="n">
        <f aca="false">AI29</f>
        <v>0</v>
      </c>
      <c r="AJ50" s="114" t="n">
        <f aca="false">AJ29</f>
        <v>0</v>
      </c>
      <c r="AK50" s="114" t="n">
        <f aca="false">AK29</f>
        <v>0</v>
      </c>
      <c r="AL50" s="114" t="n">
        <f aca="false">AL29</f>
        <v>0</v>
      </c>
    </row>
    <row r="51" customFormat="false" ht="15" hidden="false" customHeight="false" outlineLevel="0" collapsed="false">
      <c r="C51" s="0" t="s">
        <v>224</v>
      </c>
      <c r="E51" s="104" t="s">
        <v>72</v>
      </c>
      <c r="H51" s="0"/>
      <c r="I51" s="114" t="n">
        <f aca="false">Funding!I222*(I6=0)</f>
        <v>0</v>
      </c>
      <c r="J51" s="114" t="n">
        <f aca="false">Funding!J222*(J6=0)</f>
        <v>-17778.0821917807</v>
      </c>
      <c r="K51" s="114" t="n">
        <f aca="false">Funding!K222*(K6=0)</f>
        <v>2013.07889458793</v>
      </c>
      <c r="L51" s="114" t="n">
        <f aca="false">Funding!L222*(L6=0)</f>
        <v>1984.34651381418</v>
      </c>
      <c r="M51" s="114" t="n">
        <f aca="false">Funding!M222*(M6=0)</f>
        <v>3378.99486477079</v>
      </c>
      <c r="N51" s="114" t="n">
        <f aca="false">Funding!N222*(N6=0)</f>
        <v>501.820911243558</v>
      </c>
      <c r="O51" s="114" t="n">
        <f aca="false">Funding!O222*(O6=0)</f>
        <v>1895.59198076662</v>
      </c>
      <c r="P51" s="114" t="n">
        <f aca="false">Funding!P222*(P6=0)</f>
        <v>1865.10416332528</v>
      </c>
      <c r="Q51" s="114" t="n">
        <f aca="false">Funding!Q222*(Q6=0)</f>
        <v>3237.38788389426</v>
      </c>
      <c r="R51" s="114" t="n">
        <f aca="false">Funding!R222*(R6=0)</f>
        <v>399.4290442848</v>
      </c>
      <c r="S51" s="114" t="n">
        <f aca="false">Funding!S222*(S6=0)</f>
        <v>1770.70700814202</v>
      </c>
      <c r="T51" s="114" t="n">
        <f aca="false">Funding!T222*(T6=0)</f>
        <v>1738.20669334463</v>
      </c>
      <c r="U51" s="114" t="n">
        <f aca="false">Funding!U222*(U6=0)</f>
        <v>3089.23741887539</v>
      </c>
      <c r="V51" s="114" t="n">
        <f aca="false">Funding!V222*(V6=0)</f>
        <v>287.468868556898</v>
      </c>
      <c r="W51" s="114" t="n">
        <f aca="false">Funding!W222*(W6=0)</f>
        <v>1637.3496019466</v>
      </c>
      <c r="X51" s="114" t="n">
        <f aca="false">Funding!X222*(X6=0)</f>
        <v>1602.54819499253</v>
      </c>
      <c r="Y51" s="114" t="n">
        <f aca="false">Funding!Y222*(Y6=0)</f>
        <v>2933.49929481937</v>
      </c>
      <c r="Z51" s="114" t="n">
        <f aca="false">Funding!Z222*(Z6=0)</f>
        <v>164.674312341376</v>
      </c>
      <c r="AA51" s="114" t="n">
        <f aca="false">Funding!AA222*(AA6=0)</f>
        <v>1494.31343917293</v>
      </c>
      <c r="AB51" s="114" t="n">
        <f aca="false">Funding!AB222*(AB6=0)</f>
        <v>1456.88683886029</v>
      </c>
      <c r="AC51" s="114" t="n">
        <f aca="false">Funding!AC222*(AC6=0)</f>
        <v>495611.708332356</v>
      </c>
      <c r="AD51" s="114" t="n">
        <f aca="false">Funding!AD222*(AD6=0)</f>
        <v>0</v>
      </c>
      <c r="AE51" s="114" t="n">
        <f aca="false">Funding!AE222*(AE6=0)</f>
        <v>0</v>
      </c>
      <c r="AF51" s="114" t="n">
        <f aca="false">Funding!AF222*(AF6=0)</f>
        <v>0</v>
      </c>
      <c r="AG51" s="114" t="n">
        <f aca="false">Funding!AG222*(AG6=0)</f>
        <v>0</v>
      </c>
      <c r="AH51" s="114" t="n">
        <f aca="false">Funding!AH222*(AH6=0)</f>
        <v>0</v>
      </c>
      <c r="AI51" s="114" t="n">
        <f aca="false">Funding!AI222*(AI6=0)</f>
        <v>0</v>
      </c>
      <c r="AJ51" s="114" t="n">
        <f aca="false">Funding!AJ222*(AJ6=0)</f>
        <v>0</v>
      </c>
      <c r="AK51" s="114" t="n">
        <f aca="false">Funding!AK222*(AK6=0)</f>
        <v>0</v>
      </c>
      <c r="AL51" s="114" t="n">
        <f aca="false">Funding!AL222*(AL6=0)</f>
        <v>0</v>
      </c>
    </row>
    <row r="52" customFormat="false" ht="15" hidden="false" customHeight="false" outlineLevel="0" collapsed="false">
      <c r="C52" s="0" t="s">
        <v>219</v>
      </c>
      <c r="E52" s="104" t="s">
        <v>72</v>
      </c>
      <c r="H52" s="0"/>
      <c r="I52" s="122" t="e">
        <f aca="false">I42</f>
        <v>#VALUE!</v>
      </c>
      <c r="J52" s="122" t="e">
        <f aca="false">J42</f>
        <v>#VALUE!</v>
      </c>
      <c r="K52" s="122" t="e">
        <f aca="false">K42</f>
        <v>#VALUE!</v>
      </c>
      <c r="L52" s="122" t="e">
        <f aca="false">L42</f>
        <v>#VALUE!</v>
      </c>
      <c r="M52" s="122" t="e">
        <f aca="false">M42</f>
        <v>#VALUE!</v>
      </c>
      <c r="N52" s="122" t="e">
        <f aca="false">N42</f>
        <v>#VALUE!</v>
      </c>
      <c r="O52" s="122" t="e">
        <f aca="false">O42</f>
        <v>#VALUE!</v>
      </c>
      <c r="P52" s="122" t="e">
        <f aca="false">P42</f>
        <v>#VALUE!</v>
      </c>
      <c r="Q52" s="122" t="e">
        <f aca="false">Q42</f>
        <v>#VALUE!</v>
      </c>
      <c r="R52" s="122" t="e">
        <f aca="false">R42</f>
        <v>#VALUE!</v>
      </c>
      <c r="S52" s="122" t="e">
        <f aca="false">S42</f>
        <v>#VALUE!</v>
      </c>
      <c r="T52" s="122" t="e">
        <f aca="false">T42</f>
        <v>#VALUE!</v>
      </c>
      <c r="U52" s="122" t="e">
        <f aca="false">U42</f>
        <v>#VALUE!</v>
      </c>
      <c r="V52" s="122" t="e">
        <f aca="false">V42</f>
        <v>#VALUE!</v>
      </c>
      <c r="W52" s="122" t="e">
        <f aca="false">W42</f>
        <v>#VALUE!</v>
      </c>
      <c r="X52" s="122" t="e">
        <f aca="false">X42</f>
        <v>#VALUE!</v>
      </c>
      <c r="Y52" s="122" t="e">
        <f aca="false">Y42</f>
        <v>#VALUE!</v>
      </c>
      <c r="Z52" s="122" t="e">
        <f aca="false">Z42</f>
        <v>#VALUE!</v>
      </c>
      <c r="AA52" s="122" t="e">
        <f aca="false">AA42</f>
        <v>#VALUE!</v>
      </c>
      <c r="AB52" s="122" t="e">
        <f aca="false">AB42</f>
        <v>#VALUE!</v>
      </c>
      <c r="AC52" s="122" t="e">
        <f aca="false">AC42</f>
        <v>#VALUE!</v>
      </c>
      <c r="AD52" s="122" t="e">
        <f aca="false">AD42</f>
        <v>#VALUE!</v>
      </c>
      <c r="AE52" s="122" t="e">
        <f aca="false">AE42</f>
        <v>#VALUE!</v>
      </c>
      <c r="AF52" s="122" t="e">
        <f aca="false">AF42</f>
        <v>#VALUE!</v>
      </c>
      <c r="AG52" s="122" t="e">
        <f aca="false">AG42</f>
        <v>#VALUE!</v>
      </c>
      <c r="AH52" s="122" t="e">
        <f aca="false">AH42</f>
        <v>#VALUE!</v>
      </c>
      <c r="AI52" s="122" t="e">
        <f aca="false">AI42</f>
        <v>#VALUE!</v>
      </c>
      <c r="AJ52" s="122" t="e">
        <f aca="false">AJ42</f>
        <v>#VALUE!</v>
      </c>
      <c r="AK52" s="122" t="e">
        <f aca="false">AK42</f>
        <v>#VALUE!</v>
      </c>
      <c r="AL52" s="122" t="e">
        <f aca="false">AL42</f>
        <v>#VALUE!</v>
      </c>
    </row>
    <row r="53" customFormat="false" ht="15" hidden="false" customHeight="false" outlineLevel="0" collapsed="false">
      <c r="C53" s="117" t="s">
        <v>225</v>
      </c>
      <c r="D53" s="117"/>
      <c r="E53" s="118" t="s">
        <v>72</v>
      </c>
      <c r="F53" s="117"/>
      <c r="G53" s="123" t="e">
        <f aca="false">SUM(I53:AL53)</f>
        <v>#VALUE!</v>
      </c>
      <c r="H53" s="119"/>
      <c r="I53" s="123" t="e">
        <f aca="false">SUM(I50:I52)</f>
        <v>#VALUE!</v>
      </c>
      <c r="J53" s="123" t="e">
        <f aca="false">SUM(J50:J52)</f>
        <v>#VALUE!</v>
      </c>
      <c r="K53" s="123" t="e">
        <f aca="false">SUM(K50:K52)</f>
        <v>#VALUE!</v>
      </c>
      <c r="L53" s="123" t="e">
        <f aca="false">SUM(L50:L52)</f>
        <v>#VALUE!</v>
      </c>
      <c r="M53" s="123" t="e">
        <f aca="false">SUM(M50:M52)</f>
        <v>#VALUE!</v>
      </c>
      <c r="N53" s="123" t="e">
        <f aca="false">SUM(N50:N52)</f>
        <v>#VALUE!</v>
      </c>
      <c r="O53" s="123" t="e">
        <f aca="false">SUM(O50:O52)</f>
        <v>#VALUE!</v>
      </c>
      <c r="P53" s="123" t="e">
        <f aca="false">SUM(P50:P52)</f>
        <v>#VALUE!</v>
      </c>
      <c r="Q53" s="123" t="e">
        <f aca="false">SUM(Q50:Q52)</f>
        <v>#VALUE!</v>
      </c>
      <c r="R53" s="123" t="e">
        <f aca="false">SUM(R50:R52)</f>
        <v>#VALUE!</v>
      </c>
      <c r="S53" s="123" t="e">
        <f aca="false">SUM(S50:S52)</f>
        <v>#VALUE!</v>
      </c>
      <c r="T53" s="123" t="e">
        <f aca="false">SUM(T50:T52)</f>
        <v>#VALUE!</v>
      </c>
      <c r="U53" s="123" t="e">
        <f aca="false">SUM(U50:U52)</f>
        <v>#VALUE!</v>
      </c>
      <c r="V53" s="123" t="e">
        <f aca="false">SUM(V50:V52)</f>
        <v>#VALUE!</v>
      </c>
      <c r="W53" s="123" t="e">
        <f aca="false">SUM(W50:W52)</f>
        <v>#VALUE!</v>
      </c>
      <c r="X53" s="123" t="e">
        <f aca="false">SUM(X50:X52)</f>
        <v>#VALUE!</v>
      </c>
      <c r="Y53" s="123" t="e">
        <f aca="false">SUM(Y50:Y52)</f>
        <v>#VALUE!</v>
      </c>
      <c r="Z53" s="123" t="e">
        <f aca="false">SUM(Z50:Z52)</f>
        <v>#VALUE!</v>
      </c>
      <c r="AA53" s="123" t="e">
        <f aca="false">SUM(AA50:AA52)</f>
        <v>#VALUE!</v>
      </c>
      <c r="AB53" s="123" t="e">
        <f aca="false">SUM(AB50:AB52)</f>
        <v>#VALUE!</v>
      </c>
      <c r="AC53" s="123" t="e">
        <f aca="false">SUM(AC50:AC52)</f>
        <v>#VALUE!</v>
      </c>
      <c r="AD53" s="123" t="e">
        <f aca="false">SUM(AD50:AD52)</f>
        <v>#VALUE!</v>
      </c>
      <c r="AE53" s="123" t="e">
        <f aca="false">SUM(AE50:AE52)</f>
        <v>#VALUE!</v>
      </c>
      <c r="AF53" s="123" t="e">
        <f aca="false">SUM(AF50:AF52)</f>
        <v>#VALUE!</v>
      </c>
      <c r="AG53" s="123" t="e">
        <f aca="false">SUM(AG50:AG52)</f>
        <v>#VALUE!</v>
      </c>
      <c r="AH53" s="123" t="e">
        <f aca="false">SUM(AH50:AH52)</f>
        <v>#VALUE!</v>
      </c>
      <c r="AI53" s="123" t="e">
        <f aca="false">SUM(AI50:AI52)</f>
        <v>#VALUE!</v>
      </c>
      <c r="AJ53" s="123" t="e">
        <f aca="false">SUM(AJ50:AJ52)</f>
        <v>#VALUE!</v>
      </c>
      <c r="AK53" s="123" t="e">
        <f aca="false">SUM(AK50:AK52)</f>
        <v>#VALUE!</v>
      </c>
      <c r="AL53" s="123" t="e">
        <f aca="false">SUM(AL50:AL52)</f>
        <v>#VALUE!</v>
      </c>
    </row>
    <row r="55" customFormat="false" ht="15" hidden="false" customHeight="false" outlineLevel="0" collapsed="false">
      <c r="B55" s="2" t="n">
        <f aca="false">(MAX($A$7:B54)+0.1)</f>
        <v>2.2</v>
      </c>
      <c r="C55" s="2" t="s">
        <v>226</v>
      </c>
      <c r="E55" s="0"/>
      <c r="H55" s="0"/>
    </row>
    <row r="56" customFormat="false" ht="15" hidden="false" customHeight="false" outlineLevel="0" collapsed="false">
      <c r="C56" s="0" t="s">
        <v>227</v>
      </c>
      <c r="E56" s="104" t="s">
        <v>72</v>
      </c>
      <c r="H56" s="0"/>
      <c r="I56" s="122" t="n">
        <f aca="false">-Funding!I35</f>
        <v>-24210000</v>
      </c>
      <c r="J56" s="122" t="n">
        <f aca="false">-Funding!J35</f>
        <v>0</v>
      </c>
      <c r="K56" s="122" t="n">
        <f aca="false">-Funding!K35</f>
        <v>0</v>
      </c>
      <c r="L56" s="122" t="n">
        <f aca="false">-Funding!L35</f>
        <v>0</v>
      </c>
      <c r="M56" s="122" t="n">
        <f aca="false">-Funding!M35</f>
        <v>0</v>
      </c>
      <c r="N56" s="122" t="n">
        <f aca="false">-Funding!N35</f>
        <v>0</v>
      </c>
      <c r="O56" s="122" t="n">
        <f aca="false">-Funding!O35</f>
        <v>0</v>
      </c>
      <c r="P56" s="122" t="n">
        <f aca="false">-Funding!P35</f>
        <v>0</v>
      </c>
      <c r="Q56" s="122" t="n">
        <f aca="false">-Funding!Q35</f>
        <v>0</v>
      </c>
      <c r="R56" s="122" t="n">
        <f aca="false">-Funding!R35</f>
        <v>0</v>
      </c>
      <c r="S56" s="122" t="n">
        <f aca="false">-Funding!S35</f>
        <v>0</v>
      </c>
      <c r="T56" s="122" t="n">
        <f aca="false">-Funding!T35</f>
        <v>0</v>
      </c>
      <c r="U56" s="122" t="n">
        <f aca="false">-Funding!U35</f>
        <v>0</v>
      </c>
      <c r="V56" s="122" t="n">
        <f aca="false">-Funding!V35</f>
        <v>0</v>
      </c>
      <c r="W56" s="122" t="n">
        <f aca="false">-Funding!W35</f>
        <v>0</v>
      </c>
      <c r="X56" s="122" t="n">
        <f aca="false">-Funding!X35</f>
        <v>0</v>
      </c>
      <c r="Y56" s="122" t="n">
        <f aca="false">-Funding!Y35</f>
        <v>0</v>
      </c>
      <c r="Z56" s="122" t="n">
        <f aca="false">-Funding!Z35</f>
        <v>0</v>
      </c>
      <c r="AA56" s="122" t="n">
        <f aca="false">-Funding!AA35</f>
        <v>0</v>
      </c>
      <c r="AB56" s="122" t="n">
        <f aca="false">-Funding!AB35</f>
        <v>0</v>
      </c>
      <c r="AC56" s="122" t="n">
        <f aca="false">-Funding!AC35</f>
        <v>0</v>
      </c>
      <c r="AD56" s="122" t="n">
        <f aca="false">-Funding!AD35</f>
        <v>0</v>
      </c>
      <c r="AE56" s="122" t="n">
        <f aca="false">-Funding!AE35</f>
        <v>0</v>
      </c>
      <c r="AF56" s="122" t="n">
        <f aca="false">-Funding!AF35</f>
        <v>0</v>
      </c>
      <c r="AG56" s="122" t="n">
        <f aca="false">-Funding!AG35</f>
        <v>0</v>
      </c>
      <c r="AH56" s="122" t="n">
        <f aca="false">-Funding!AH35</f>
        <v>0</v>
      </c>
      <c r="AI56" s="122" t="n">
        <f aca="false">-Funding!AI35</f>
        <v>0</v>
      </c>
      <c r="AJ56" s="122" t="n">
        <f aca="false">-Funding!AJ35</f>
        <v>0</v>
      </c>
      <c r="AK56" s="122" t="n">
        <f aca="false">-Funding!AK35</f>
        <v>0</v>
      </c>
      <c r="AL56" s="122" t="n">
        <f aca="false">-Funding!AL35</f>
        <v>0</v>
      </c>
    </row>
    <row r="57" customFormat="false" ht="15" hidden="false" customHeight="false" outlineLevel="0" collapsed="false">
      <c r="C57" s="0" t="s">
        <v>153</v>
      </c>
      <c r="E57" s="104" t="s">
        <v>72</v>
      </c>
      <c r="H57" s="0"/>
      <c r="I57" s="122" t="n">
        <f aca="false">-Funding!I36</f>
        <v>-46060.9479693209</v>
      </c>
      <c r="J57" s="122" t="n">
        <f aca="false">-Funding!J36</f>
        <v>0</v>
      </c>
      <c r="K57" s="122" t="n">
        <f aca="false">-Funding!K36</f>
        <v>0</v>
      </c>
      <c r="L57" s="122" t="n">
        <f aca="false">-Funding!L36</f>
        <v>0</v>
      </c>
      <c r="M57" s="122" t="n">
        <f aca="false">-Funding!M36</f>
        <v>0</v>
      </c>
      <c r="N57" s="122" t="n">
        <f aca="false">-Funding!N36</f>
        <v>0</v>
      </c>
      <c r="O57" s="122" t="n">
        <f aca="false">-Funding!O36</f>
        <v>0</v>
      </c>
      <c r="P57" s="122" t="n">
        <f aca="false">-Funding!P36</f>
        <v>0</v>
      </c>
      <c r="Q57" s="122" t="n">
        <f aca="false">-Funding!Q36</f>
        <v>0</v>
      </c>
      <c r="R57" s="122" t="n">
        <f aca="false">-Funding!R36</f>
        <v>0</v>
      </c>
      <c r="S57" s="122" t="n">
        <f aca="false">-Funding!S36</f>
        <v>0</v>
      </c>
      <c r="T57" s="122" t="n">
        <f aca="false">-Funding!T36</f>
        <v>0</v>
      </c>
      <c r="U57" s="122" t="n">
        <f aca="false">-Funding!U36</f>
        <v>0</v>
      </c>
      <c r="V57" s="122" t="n">
        <f aca="false">-Funding!V36</f>
        <v>0</v>
      </c>
      <c r="W57" s="122" t="n">
        <f aca="false">-Funding!W36</f>
        <v>0</v>
      </c>
      <c r="X57" s="122" t="n">
        <f aca="false">-Funding!X36</f>
        <v>0</v>
      </c>
      <c r="Y57" s="122" t="n">
        <f aca="false">-Funding!Y36</f>
        <v>0</v>
      </c>
      <c r="Z57" s="122" t="n">
        <f aca="false">-Funding!Z36</f>
        <v>0</v>
      </c>
      <c r="AA57" s="122" t="n">
        <f aca="false">-Funding!AA36</f>
        <v>0</v>
      </c>
      <c r="AB57" s="122" t="n">
        <f aca="false">-Funding!AB36</f>
        <v>0</v>
      </c>
      <c r="AC57" s="122" t="n">
        <f aca="false">-Funding!AC36</f>
        <v>0</v>
      </c>
      <c r="AD57" s="122" t="n">
        <f aca="false">-Funding!AD36</f>
        <v>0</v>
      </c>
      <c r="AE57" s="122" t="n">
        <f aca="false">-Funding!AE36</f>
        <v>0</v>
      </c>
      <c r="AF57" s="122" t="n">
        <f aca="false">-Funding!AF36</f>
        <v>0</v>
      </c>
      <c r="AG57" s="122" t="n">
        <f aca="false">-Funding!AG36</f>
        <v>0</v>
      </c>
      <c r="AH57" s="122" t="n">
        <f aca="false">-Funding!AH36</f>
        <v>0</v>
      </c>
      <c r="AI57" s="122" t="n">
        <f aca="false">-Funding!AI36</f>
        <v>0</v>
      </c>
      <c r="AJ57" s="122" t="n">
        <f aca="false">-Funding!AJ36</f>
        <v>0</v>
      </c>
      <c r="AK57" s="122" t="n">
        <f aca="false">-Funding!AK36</f>
        <v>0</v>
      </c>
      <c r="AL57" s="122" t="n">
        <f aca="false">-Funding!AL36</f>
        <v>0</v>
      </c>
    </row>
    <row r="58" customFormat="false" ht="15" hidden="false" customHeight="false" outlineLevel="0" collapsed="false">
      <c r="C58" s="0" t="s">
        <v>228</v>
      </c>
      <c r="E58" s="104" t="s">
        <v>72</v>
      </c>
      <c r="H58" s="0"/>
      <c r="I58" s="122" t="n">
        <f aca="false">-Funding!I37</f>
        <v>-509284.272068314</v>
      </c>
      <c r="J58" s="122" t="n">
        <f aca="false">-Funding!J37</f>
        <v>0</v>
      </c>
      <c r="K58" s="122" t="n">
        <f aca="false">-Funding!K37</f>
        <v>0</v>
      </c>
      <c r="L58" s="122" t="n">
        <f aca="false">-Funding!L37</f>
        <v>0</v>
      </c>
      <c r="M58" s="122" t="n">
        <f aca="false">-Funding!M37</f>
        <v>0</v>
      </c>
      <c r="N58" s="122" t="n">
        <f aca="false">-Funding!N37</f>
        <v>0</v>
      </c>
      <c r="O58" s="122" t="n">
        <f aca="false">-Funding!O37</f>
        <v>0</v>
      </c>
      <c r="P58" s="122" t="n">
        <f aca="false">-Funding!P37</f>
        <v>0</v>
      </c>
      <c r="Q58" s="122" t="n">
        <f aca="false">-Funding!Q37</f>
        <v>0</v>
      </c>
      <c r="R58" s="122" t="n">
        <f aca="false">-Funding!R37</f>
        <v>0</v>
      </c>
      <c r="S58" s="122" t="n">
        <f aca="false">-Funding!S37</f>
        <v>0</v>
      </c>
      <c r="T58" s="122" t="n">
        <f aca="false">-Funding!T37</f>
        <v>0</v>
      </c>
      <c r="U58" s="122" t="n">
        <f aca="false">-Funding!U37</f>
        <v>0</v>
      </c>
      <c r="V58" s="122" t="n">
        <f aca="false">-Funding!V37</f>
        <v>0</v>
      </c>
      <c r="W58" s="122" t="n">
        <f aca="false">-Funding!W37</f>
        <v>0</v>
      </c>
      <c r="X58" s="122" t="n">
        <f aca="false">-Funding!X37</f>
        <v>0</v>
      </c>
      <c r="Y58" s="122" t="n">
        <f aca="false">-Funding!Y37</f>
        <v>0</v>
      </c>
      <c r="Z58" s="122" t="n">
        <f aca="false">-Funding!Z37</f>
        <v>0</v>
      </c>
      <c r="AA58" s="122" t="n">
        <f aca="false">-Funding!AA37</f>
        <v>0</v>
      </c>
      <c r="AB58" s="122" t="n">
        <f aca="false">-Funding!AB37</f>
        <v>0</v>
      </c>
      <c r="AC58" s="122" t="n">
        <f aca="false">-Funding!AC37</f>
        <v>0</v>
      </c>
      <c r="AD58" s="122" t="n">
        <f aca="false">-Funding!AD37</f>
        <v>0</v>
      </c>
      <c r="AE58" s="122" t="n">
        <f aca="false">-Funding!AE37</f>
        <v>0</v>
      </c>
      <c r="AF58" s="122" t="n">
        <f aca="false">-Funding!AF37</f>
        <v>0</v>
      </c>
      <c r="AG58" s="122" t="n">
        <f aca="false">-Funding!AG37</f>
        <v>0</v>
      </c>
      <c r="AH58" s="122" t="n">
        <f aca="false">-Funding!AH37</f>
        <v>0</v>
      </c>
      <c r="AI58" s="122" t="n">
        <f aca="false">-Funding!AI37</f>
        <v>0</v>
      </c>
      <c r="AJ58" s="122" t="n">
        <f aca="false">-Funding!AJ37</f>
        <v>0</v>
      </c>
      <c r="AK58" s="122" t="n">
        <f aca="false">-Funding!AK37</f>
        <v>0</v>
      </c>
      <c r="AL58" s="122" t="n">
        <f aca="false">-Funding!AL37</f>
        <v>0</v>
      </c>
    </row>
    <row r="59" customFormat="false" ht="15" hidden="false" customHeight="false" outlineLevel="0" collapsed="false">
      <c r="C59" s="0" t="s">
        <v>143</v>
      </c>
      <c r="E59" s="104" t="s">
        <v>72</v>
      </c>
      <c r="H59" s="0"/>
      <c r="I59" s="122" t="n">
        <f aca="false">-Funding!I38</f>
        <v>-1268562.27647766</v>
      </c>
      <c r="J59" s="122" t="n">
        <f aca="false">-Funding!J38</f>
        <v>0</v>
      </c>
      <c r="K59" s="122" t="n">
        <f aca="false">-Funding!K38</f>
        <v>0</v>
      </c>
      <c r="L59" s="122" t="n">
        <f aca="false">-Funding!L38</f>
        <v>0</v>
      </c>
      <c r="M59" s="122" t="n">
        <f aca="false">-Funding!M38</f>
        <v>0</v>
      </c>
      <c r="N59" s="122" t="n">
        <f aca="false">-Funding!N38</f>
        <v>0</v>
      </c>
      <c r="O59" s="122" t="n">
        <f aca="false">-Funding!O38</f>
        <v>0</v>
      </c>
      <c r="P59" s="122" t="n">
        <f aca="false">-Funding!P38</f>
        <v>0</v>
      </c>
      <c r="Q59" s="122" t="n">
        <f aca="false">-Funding!Q38</f>
        <v>0</v>
      </c>
      <c r="R59" s="122" t="n">
        <f aca="false">-Funding!R38</f>
        <v>0</v>
      </c>
      <c r="S59" s="122" t="n">
        <f aca="false">-Funding!S38</f>
        <v>0</v>
      </c>
      <c r="T59" s="122" t="n">
        <f aca="false">-Funding!T38</f>
        <v>0</v>
      </c>
      <c r="U59" s="122" t="n">
        <f aca="false">-Funding!U38</f>
        <v>0</v>
      </c>
      <c r="V59" s="122" t="n">
        <f aca="false">-Funding!V38</f>
        <v>0</v>
      </c>
      <c r="W59" s="122" t="n">
        <f aca="false">-Funding!W38</f>
        <v>0</v>
      </c>
      <c r="X59" s="122" t="n">
        <f aca="false">-Funding!X38</f>
        <v>0</v>
      </c>
      <c r="Y59" s="122" t="n">
        <f aca="false">-Funding!Y38</f>
        <v>0</v>
      </c>
      <c r="Z59" s="122" t="n">
        <f aca="false">-Funding!Z38</f>
        <v>0</v>
      </c>
      <c r="AA59" s="122" t="n">
        <f aca="false">-Funding!AA38</f>
        <v>0</v>
      </c>
      <c r="AB59" s="122" t="n">
        <f aca="false">-Funding!AB38</f>
        <v>0</v>
      </c>
      <c r="AC59" s="122" t="n">
        <f aca="false">-Funding!AC38</f>
        <v>0</v>
      </c>
      <c r="AD59" s="122" t="n">
        <f aca="false">-Funding!AD38</f>
        <v>0</v>
      </c>
      <c r="AE59" s="122" t="n">
        <f aca="false">-Funding!AE38</f>
        <v>0</v>
      </c>
      <c r="AF59" s="122" t="n">
        <f aca="false">-Funding!AF38</f>
        <v>0</v>
      </c>
      <c r="AG59" s="122" t="n">
        <f aca="false">-Funding!AG38</f>
        <v>0</v>
      </c>
      <c r="AH59" s="122" t="n">
        <f aca="false">-Funding!AH38</f>
        <v>0</v>
      </c>
      <c r="AI59" s="122" t="n">
        <f aca="false">-Funding!AI38</f>
        <v>0</v>
      </c>
      <c r="AJ59" s="122" t="n">
        <f aca="false">-Funding!AJ38</f>
        <v>0</v>
      </c>
      <c r="AK59" s="122" t="n">
        <f aca="false">-Funding!AK38</f>
        <v>0</v>
      </c>
      <c r="AL59" s="122" t="n">
        <f aca="false">-Funding!AL38</f>
        <v>0</v>
      </c>
    </row>
    <row r="60" customFormat="false" ht="15" hidden="false" customHeight="false" outlineLevel="0" collapsed="false">
      <c r="C60" s="0" t="s">
        <v>229</v>
      </c>
      <c r="E60" s="104" t="s">
        <v>72</v>
      </c>
      <c r="H60" s="0"/>
      <c r="I60" s="122" t="n">
        <f aca="false">-Funding!I39</f>
        <v>-344238.443157287</v>
      </c>
      <c r="J60" s="122" t="n">
        <f aca="false">-Funding!J39</f>
        <v>0</v>
      </c>
      <c r="K60" s="122" t="n">
        <f aca="false">-Funding!K39</f>
        <v>0</v>
      </c>
      <c r="L60" s="122" t="n">
        <f aca="false">-Funding!L39</f>
        <v>0</v>
      </c>
      <c r="M60" s="122" t="n">
        <f aca="false">-Funding!M39</f>
        <v>0</v>
      </c>
      <c r="N60" s="122" t="n">
        <f aca="false">-Funding!N39</f>
        <v>0</v>
      </c>
      <c r="O60" s="122" t="n">
        <f aca="false">-Funding!O39</f>
        <v>0</v>
      </c>
      <c r="P60" s="122" t="n">
        <f aca="false">-Funding!P39</f>
        <v>0</v>
      </c>
      <c r="Q60" s="122" t="n">
        <f aca="false">-Funding!Q39</f>
        <v>0</v>
      </c>
      <c r="R60" s="122" t="n">
        <f aca="false">-Funding!R39</f>
        <v>0</v>
      </c>
      <c r="S60" s="122" t="n">
        <f aca="false">-Funding!S39</f>
        <v>0</v>
      </c>
      <c r="T60" s="122" t="n">
        <f aca="false">-Funding!T39</f>
        <v>0</v>
      </c>
      <c r="U60" s="122" t="n">
        <f aca="false">-Funding!U39</f>
        <v>0</v>
      </c>
      <c r="V60" s="122" t="n">
        <f aca="false">-Funding!V39</f>
        <v>0</v>
      </c>
      <c r="W60" s="122" t="n">
        <f aca="false">-Funding!W39</f>
        <v>0</v>
      </c>
      <c r="X60" s="122" t="n">
        <f aca="false">-Funding!X39</f>
        <v>0</v>
      </c>
      <c r="Y60" s="122" t="n">
        <f aca="false">-Funding!Y39</f>
        <v>0</v>
      </c>
      <c r="Z60" s="122" t="n">
        <f aca="false">-Funding!Z39</f>
        <v>0</v>
      </c>
      <c r="AA60" s="122" t="n">
        <f aca="false">-Funding!AA39</f>
        <v>0</v>
      </c>
      <c r="AB60" s="122" t="n">
        <f aca="false">-Funding!AB39</f>
        <v>0</v>
      </c>
      <c r="AC60" s="122" t="n">
        <f aca="false">-Funding!AC39</f>
        <v>0</v>
      </c>
      <c r="AD60" s="122" t="n">
        <f aca="false">-Funding!AD39</f>
        <v>0</v>
      </c>
      <c r="AE60" s="122" t="n">
        <f aca="false">-Funding!AE39</f>
        <v>0</v>
      </c>
      <c r="AF60" s="122" t="n">
        <f aca="false">-Funding!AF39</f>
        <v>0</v>
      </c>
      <c r="AG60" s="122" t="n">
        <f aca="false">-Funding!AG39</f>
        <v>0</v>
      </c>
      <c r="AH60" s="122" t="n">
        <f aca="false">-Funding!AH39</f>
        <v>0</v>
      </c>
      <c r="AI60" s="122" t="n">
        <f aca="false">-Funding!AI39</f>
        <v>0</v>
      </c>
      <c r="AJ60" s="122" t="n">
        <f aca="false">-Funding!AJ39</f>
        <v>0</v>
      </c>
      <c r="AK60" s="122" t="n">
        <f aca="false">-Funding!AK39</f>
        <v>0</v>
      </c>
      <c r="AL60" s="122" t="n">
        <f aca="false">-Funding!AL39</f>
        <v>0</v>
      </c>
    </row>
    <row r="61" customFormat="false" ht="15" hidden="false" customHeight="false" outlineLevel="0" collapsed="false">
      <c r="C61" s="0" t="s">
        <v>230</v>
      </c>
      <c r="E61" s="104" t="s">
        <v>72</v>
      </c>
      <c r="H61" s="0"/>
      <c r="I61" s="122" t="n">
        <f aca="false">-Funding!I40</f>
        <v>-917689.43187538</v>
      </c>
      <c r="J61" s="122" t="n">
        <f aca="false">-Funding!J40</f>
        <v>0</v>
      </c>
      <c r="K61" s="122" t="n">
        <f aca="false">-Funding!K40</f>
        <v>0</v>
      </c>
      <c r="L61" s="122" t="n">
        <f aca="false">-Funding!L40</f>
        <v>0</v>
      </c>
      <c r="M61" s="122" t="n">
        <f aca="false">-Funding!M40</f>
        <v>0</v>
      </c>
      <c r="N61" s="122" t="n">
        <f aca="false">-Funding!N40</f>
        <v>0</v>
      </c>
      <c r="O61" s="122" t="n">
        <f aca="false">-Funding!O40</f>
        <v>0</v>
      </c>
      <c r="P61" s="122" t="n">
        <f aca="false">-Funding!P40</f>
        <v>0</v>
      </c>
      <c r="Q61" s="122" t="n">
        <f aca="false">-Funding!Q40</f>
        <v>0</v>
      </c>
      <c r="R61" s="122" t="n">
        <f aca="false">-Funding!R40</f>
        <v>0</v>
      </c>
      <c r="S61" s="122" t="n">
        <f aca="false">-Funding!S40</f>
        <v>0</v>
      </c>
      <c r="T61" s="122" t="n">
        <f aca="false">-Funding!T40</f>
        <v>0</v>
      </c>
      <c r="U61" s="122" t="n">
        <f aca="false">-Funding!U40</f>
        <v>0</v>
      </c>
      <c r="V61" s="122" t="n">
        <f aca="false">-Funding!V40</f>
        <v>0</v>
      </c>
      <c r="W61" s="122" t="n">
        <f aca="false">-Funding!W40</f>
        <v>0</v>
      </c>
      <c r="X61" s="122" t="n">
        <f aca="false">-Funding!X40</f>
        <v>0</v>
      </c>
      <c r="Y61" s="122" t="n">
        <f aca="false">-Funding!Y40</f>
        <v>0</v>
      </c>
      <c r="Z61" s="122" t="n">
        <f aca="false">-Funding!Z40</f>
        <v>0</v>
      </c>
      <c r="AA61" s="122" t="n">
        <f aca="false">-Funding!AA40</f>
        <v>0</v>
      </c>
      <c r="AB61" s="122" t="n">
        <f aca="false">-Funding!AB40</f>
        <v>0</v>
      </c>
      <c r="AC61" s="122" t="n">
        <f aca="false">-Funding!AC40</f>
        <v>0</v>
      </c>
      <c r="AD61" s="122" t="n">
        <f aca="false">-Funding!AD40</f>
        <v>0</v>
      </c>
      <c r="AE61" s="122" t="n">
        <f aca="false">-Funding!AE40</f>
        <v>0</v>
      </c>
      <c r="AF61" s="122" t="n">
        <f aca="false">-Funding!AF40</f>
        <v>0</v>
      </c>
      <c r="AG61" s="122" t="n">
        <f aca="false">-Funding!AG40</f>
        <v>0</v>
      </c>
      <c r="AH61" s="122" t="n">
        <f aca="false">-Funding!AH40</f>
        <v>0</v>
      </c>
      <c r="AI61" s="122" t="n">
        <f aca="false">-Funding!AI40</f>
        <v>0</v>
      </c>
      <c r="AJ61" s="122" t="n">
        <f aca="false">-Funding!AJ40</f>
        <v>0</v>
      </c>
      <c r="AK61" s="122" t="n">
        <f aca="false">-Funding!AK40</f>
        <v>0</v>
      </c>
      <c r="AL61" s="122" t="n">
        <f aca="false">-Funding!AL40</f>
        <v>0</v>
      </c>
    </row>
    <row r="62" customFormat="false" ht="15" hidden="false" customHeight="false" outlineLevel="0" collapsed="false">
      <c r="C62" s="0" t="s">
        <v>231</v>
      </c>
      <c r="E62" s="104" t="s">
        <v>72</v>
      </c>
      <c r="H62" s="0"/>
      <c r="I62" s="122" t="n">
        <f aca="false">-Funding!I41</f>
        <v>0</v>
      </c>
      <c r="J62" s="122" t="n">
        <f aca="false">-Funding!J41</f>
        <v>0</v>
      </c>
      <c r="K62" s="122" t="n">
        <f aca="false">-Funding!K41</f>
        <v>0</v>
      </c>
      <c r="L62" s="122" t="n">
        <f aca="false">-Funding!L41</f>
        <v>0</v>
      </c>
      <c r="M62" s="122" t="n">
        <f aca="false">-Funding!M41</f>
        <v>0</v>
      </c>
      <c r="N62" s="122" t="n">
        <f aca="false">-Funding!N41</f>
        <v>0</v>
      </c>
      <c r="O62" s="122" t="n">
        <f aca="false">-Funding!O41</f>
        <v>0</v>
      </c>
      <c r="P62" s="122" t="n">
        <f aca="false">-Funding!P41</f>
        <v>0</v>
      </c>
      <c r="Q62" s="122" t="n">
        <f aca="false">-Funding!Q41</f>
        <v>0</v>
      </c>
      <c r="R62" s="122" t="n">
        <f aca="false">-Funding!R41</f>
        <v>0</v>
      </c>
      <c r="S62" s="122" t="n">
        <f aca="false">-Funding!S41</f>
        <v>0</v>
      </c>
      <c r="T62" s="122" t="n">
        <f aca="false">-Funding!T41</f>
        <v>0</v>
      </c>
      <c r="U62" s="122" t="n">
        <f aca="false">-Funding!U41</f>
        <v>0</v>
      </c>
      <c r="V62" s="122" t="n">
        <f aca="false">-Funding!V41</f>
        <v>0</v>
      </c>
      <c r="W62" s="122" t="n">
        <f aca="false">-Funding!W41</f>
        <v>0</v>
      </c>
      <c r="X62" s="122" t="n">
        <f aca="false">-Funding!X41</f>
        <v>0</v>
      </c>
      <c r="Y62" s="122" t="n">
        <f aca="false">-Funding!Y41</f>
        <v>0</v>
      </c>
      <c r="Z62" s="122" t="n">
        <f aca="false">-Funding!Z41</f>
        <v>0</v>
      </c>
      <c r="AA62" s="122" t="n">
        <f aca="false">-Funding!AA41</f>
        <v>0</v>
      </c>
      <c r="AB62" s="122" t="n">
        <f aca="false">-Funding!AB41</f>
        <v>0</v>
      </c>
      <c r="AC62" s="122" t="n">
        <f aca="false">-Funding!AC41</f>
        <v>0</v>
      </c>
      <c r="AD62" s="122" t="n">
        <f aca="false">-Funding!AD41</f>
        <v>0</v>
      </c>
      <c r="AE62" s="122" t="n">
        <f aca="false">-Funding!AE41</f>
        <v>0</v>
      </c>
      <c r="AF62" s="122" t="n">
        <f aca="false">-Funding!AF41</f>
        <v>0</v>
      </c>
      <c r="AG62" s="122" t="n">
        <f aca="false">-Funding!AG41</f>
        <v>0</v>
      </c>
      <c r="AH62" s="122" t="n">
        <f aca="false">-Funding!AH41</f>
        <v>0</v>
      </c>
      <c r="AI62" s="122" t="n">
        <f aca="false">-Funding!AI41</f>
        <v>0</v>
      </c>
      <c r="AJ62" s="122" t="n">
        <f aca="false">-Funding!AJ41</f>
        <v>0</v>
      </c>
      <c r="AK62" s="122" t="n">
        <f aca="false">-Funding!AK41</f>
        <v>0</v>
      </c>
      <c r="AL62" s="122" t="n">
        <f aca="false">-Funding!AL41</f>
        <v>0</v>
      </c>
    </row>
    <row r="63" customFormat="false" ht="15" hidden="false" customHeight="false" outlineLevel="0" collapsed="false">
      <c r="C63" s="0" t="s">
        <v>232</v>
      </c>
      <c r="E63" s="104" t="s">
        <v>72</v>
      </c>
      <c r="H63" s="0"/>
      <c r="I63" s="122" t="n">
        <f aca="false">-Funding!I42</f>
        <v>-709350.521718102</v>
      </c>
      <c r="J63" s="122" t="n">
        <f aca="false">-Funding!J42</f>
        <v>0</v>
      </c>
      <c r="K63" s="122" t="n">
        <f aca="false">-Funding!K42</f>
        <v>0</v>
      </c>
      <c r="L63" s="122" t="n">
        <f aca="false">-Funding!L42</f>
        <v>0</v>
      </c>
      <c r="M63" s="122" t="n">
        <f aca="false">-Funding!M42</f>
        <v>0</v>
      </c>
      <c r="N63" s="122" t="n">
        <f aca="false">-Funding!N42</f>
        <v>0</v>
      </c>
      <c r="O63" s="122" t="n">
        <f aca="false">-Funding!O42</f>
        <v>0</v>
      </c>
      <c r="P63" s="122" t="n">
        <f aca="false">-Funding!P42</f>
        <v>0</v>
      </c>
      <c r="Q63" s="122" t="n">
        <f aca="false">-Funding!Q42</f>
        <v>0</v>
      </c>
      <c r="R63" s="122" t="n">
        <f aca="false">-Funding!R42</f>
        <v>0</v>
      </c>
      <c r="S63" s="122" t="n">
        <f aca="false">-Funding!S42</f>
        <v>0</v>
      </c>
      <c r="T63" s="122" t="n">
        <f aca="false">-Funding!T42</f>
        <v>0</v>
      </c>
      <c r="U63" s="122" t="n">
        <f aca="false">-Funding!U42</f>
        <v>0</v>
      </c>
      <c r="V63" s="122" t="n">
        <f aca="false">-Funding!V42</f>
        <v>0</v>
      </c>
      <c r="W63" s="122" t="n">
        <f aca="false">-Funding!W42</f>
        <v>0</v>
      </c>
      <c r="X63" s="122" t="n">
        <f aca="false">-Funding!X42</f>
        <v>0</v>
      </c>
      <c r="Y63" s="122" t="n">
        <f aca="false">-Funding!Y42</f>
        <v>0</v>
      </c>
      <c r="Z63" s="122" t="n">
        <f aca="false">-Funding!Z42</f>
        <v>0</v>
      </c>
      <c r="AA63" s="122" t="n">
        <f aca="false">-Funding!AA42</f>
        <v>0</v>
      </c>
      <c r="AB63" s="122" t="n">
        <f aca="false">-Funding!AB42</f>
        <v>0</v>
      </c>
      <c r="AC63" s="122" t="n">
        <f aca="false">-Funding!AC42</f>
        <v>0</v>
      </c>
      <c r="AD63" s="122" t="n">
        <f aca="false">-Funding!AD42</f>
        <v>0</v>
      </c>
      <c r="AE63" s="122" t="n">
        <f aca="false">-Funding!AE42</f>
        <v>0</v>
      </c>
      <c r="AF63" s="122" t="n">
        <f aca="false">-Funding!AF42</f>
        <v>0</v>
      </c>
      <c r="AG63" s="122" t="n">
        <f aca="false">-Funding!AG42</f>
        <v>0</v>
      </c>
      <c r="AH63" s="122" t="n">
        <f aca="false">-Funding!AH42</f>
        <v>0</v>
      </c>
      <c r="AI63" s="122" t="n">
        <f aca="false">-Funding!AI42</f>
        <v>0</v>
      </c>
      <c r="AJ63" s="122" t="n">
        <f aca="false">-Funding!AJ42</f>
        <v>0</v>
      </c>
      <c r="AK63" s="122" t="n">
        <f aca="false">-Funding!AK42</f>
        <v>0</v>
      </c>
      <c r="AL63" s="122" t="n">
        <f aca="false">-Funding!AL42</f>
        <v>0</v>
      </c>
    </row>
    <row r="64" customFormat="false" ht="15" hidden="false" customHeight="false" outlineLevel="0" collapsed="false">
      <c r="C64" s="0" t="s">
        <v>233</v>
      </c>
      <c r="E64" s="104" t="s">
        <v>72</v>
      </c>
      <c r="H64" s="0"/>
      <c r="I64" s="122" t="n">
        <f aca="false">-Funding!I43</f>
        <v>0</v>
      </c>
      <c r="J64" s="122" t="n">
        <f aca="false">-Funding!J43</f>
        <v>0</v>
      </c>
      <c r="K64" s="122" t="n">
        <f aca="false">-Funding!K43</f>
        <v>0</v>
      </c>
      <c r="L64" s="122" t="n">
        <f aca="false">-Funding!L43</f>
        <v>0</v>
      </c>
      <c r="M64" s="122" t="n">
        <f aca="false">-Funding!M43</f>
        <v>0</v>
      </c>
      <c r="N64" s="122" t="n">
        <f aca="false">-Funding!N43</f>
        <v>0</v>
      </c>
      <c r="O64" s="122" t="n">
        <f aca="false">-Funding!O43</f>
        <v>0</v>
      </c>
      <c r="P64" s="122" t="n">
        <f aca="false">-Funding!P43</f>
        <v>0</v>
      </c>
      <c r="Q64" s="122" t="n">
        <f aca="false">-Funding!Q43</f>
        <v>0</v>
      </c>
      <c r="R64" s="122" t="n">
        <f aca="false">-Funding!R43</f>
        <v>0</v>
      </c>
      <c r="S64" s="122" t="n">
        <f aca="false">-Funding!S43</f>
        <v>0</v>
      </c>
      <c r="T64" s="122" t="n">
        <f aca="false">-Funding!T43</f>
        <v>0</v>
      </c>
      <c r="U64" s="122" t="n">
        <f aca="false">-Funding!U43</f>
        <v>0</v>
      </c>
      <c r="V64" s="122" t="n">
        <f aca="false">-Funding!V43</f>
        <v>0</v>
      </c>
      <c r="W64" s="122" t="n">
        <f aca="false">-Funding!W43</f>
        <v>0</v>
      </c>
      <c r="X64" s="122" t="n">
        <f aca="false">-Funding!X43</f>
        <v>0</v>
      </c>
      <c r="Y64" s="122" t="n">
        <f aca="false">-Funding!Y43</f>
        <v>0</v>
      </c>
      <c r="Z64" s="122" t="n">
        <f aca="false">-Funding!Z43</f>
        <v>0</v>
      </c>
      <c r="AA64" s="122" t="n">
        <f aca="false">-Funding!AA43</f>
        <v>0</v>
      </c>
      <c r="AB64" s="122" t="n">
        <f aca="false">-Funding!AB43</f>
        <v>0</v>
      </c>
      <c r="AC64" s="122" t="n">
        <f aca="false">-Funding!AC43</f>
        <v>0</v>
      </c>
      <c r="AD64" s="122" t="n">
        <f aca="false">-Funding!AD43</f>
        <v>0</v>
      </c>
      <c r="AE64" s="122" t="n">
        <f aca="false">-Funding!AE43</f>
        <v>0</v>
      </c>
      <c r="AF64" s="122" t="n">
        <f aca="false">-Funding!AF43</f>
        <v>0</v>
      </c>
      <c r="AG64" s="122" t="n">
        <f aca="false">-Funding!AG43</f>
        <v>0</v>
      </c>
      <c r="AH64" s="122" t="n">
        <f aca="false">-Funding!AH43</f>
        <v>0</v>
      </c>
      <c r="AI64" s="122" t="n">
        <f aca="false">-Funding!AI43</f>
        <v>0</v>
      </c>
      <c r="AJ64" s="122" t="n">
        <f aca="false">-Funding!AJ43</f>
        <v>0</v>
      </c>
      <c r="AK64" s="122" t="n">
        <f aca="false">-Funding!AK43</f>
        <v>0</v>
      </c>
      <c r="AL64" s="122" t="n">
        <f aca="false">-Funding!AL43</f>
        <v>0</v>
      </c>
    </row>
    <row r="65" customFormat="false" ht="15" hidden="false" customHeight="false" outlineLevel="0" collapsed="false">
      <c r="C65" s="0" t="s">
        <v>234</v>
      </c>
      <c r="E65" s="104" t="s">
        <v>72</v>
      </c>
      <c r="H65" s="0"/>
      <c r="I65" s="122" t="e">
        <f aca="false">-Funding!I49</f>
        <v>#NAME?</v>
      </c>
      <c r="J65" s="122" t="e">
        <f aca="false">-Funding!J49</f>
        <v>#NAME?</v>
      </c>
      <c r="K65" s="122" t="e">
        <f aca="false">-Funding!K49</f>
        <v>#NAME?</v>
      </c>
      <c r="L65" s="122" t="e">
        <f aca="false">-Funding!L49</f>
        <v>#NAME?</v>
      </c>
      <c r="M65" s="122" t="e">
        <f aca="false">-Funding!M49</f>
        <v>#NAME?</v>
      </c>
      <c r="N65" s="122" t="e">
        <f aca="false">-Funding!N49</f>
        <v>#NAME?</v>
      </c>
      <c r="O65" s="122" t="e">
        <f aca="false">-Funding!O49</f>
        <v>#NAME?</v>
      </c>
      <c r="P65" s="122" t="e">
        <f aca="false">-Funding!P49</f>
        <v>#NAME?</v>
      </c>
      <c r="Q65" s="122" t="e">
        <f aca="false">-Funding!Q49</f>
        <v>#NAME?</v>
      </c>
      <c r="R65" s="122" t="e">
        <f aca="false">-Funding!R49</f>
        <v>#NAME?</v>
      </c>
      <c r="S65" s="122" t="e">
        <f aca="false">-Funding!S49</f>
        <v>#NAME?</v>
      </c>
      <c r="T65" s="122" t="e">
        <f aca="false">-Funding!T49</f>
        <v>#NAME?</v>
      </c>
      <c r="U65" s="122" t="e">
        <f aca="false">-Funding!U49</f>
        <v>#NAME?</v>
      </c>
      <c r="V65" s="122" t="e">
        <f aca="false">-Funding!V49</f>
        <v>#NAME?</v>
      </c>
      <c r="W65" s="122" t="e">
        <f aca="false">-Funding!W49</f>
        <v>#NAME?</v>
      </c>
      <c r="X65" s="122" t="e">
        <f aca="false">-Funding!X49</f>
        <v>#NAME?</v>
      </c>
      <c r="Y65" s="122" t="e">
        <f aca="false">-Funding!Y49</f>
        <v>#NAME?</v>
      </c>
      <c r="Z65" s="122" t="e">
        <f aca="false">-Funding!Z49</f>
        <v>#NAME?</v>
      </c>
      <c r="AA65" s="122" t="e">
        <f aca="false">-Funding!AA49</f>
        <v>#NAME?</v>
      </c>
      <c r="AB65" s="122" t="e">
        <f aca="false">-Funding!AB49</f>
        <v>#NAME?</v>
      </c>
      <c r="AC65" s="122" t="e">
        <f aca="false">-Funding!AC49</f>
        <v>#NAME?</v>
      </c>
      <c r="AD65" s="122" t="e">
        <f aca="false">-Funding!AD49</f>
        <v>#NAME?</v>
      </c>
      <c r="AE65" s="122" t="e">
        <f aca="false">-Funding!AE49</f>
        <v>#NAME?</v>
      </c>
      <c r="AF65" s="122" t="e">
        <f aca="false">-Funding!AF49</f>
        <v>#NAME?</v>
      </c>
      <c r="AG65" s="122" t="e">
        <f aca="false">-Funding!AG49</f>
        <v>#NAME?</v>
      </c>
      <c r="AH65" s="122" t="e">
        <f aca="false">-Funding!AH49</f>
        <v>#NAME?</v>
      </c>
      <c r="AI65" s="122" t="e">
        <f aca="false">-Funding!AI49</f>
        <v>#NAME?</v>
      </c>
      <c r="AJ65" s="122" t="e">
        <f aca="false">-Funding!AJ49</f>
        <v>#NAME?</v>
      </c>
      <c r="AK65" s="122" t="e">
        <f aca="false">-Funding!AK49</f>
        <v>#NAME?</v>
      </c>
      <c r="AL65" s="122" t="e">
        <f aca="false">-Funding!AL49</f>
        <v>#NAME?</v>
      </c>
    </row>
    <row r="66" customFormat="false" ht="15" hidden="false" customHeight="false" outlineLevel="0" collapsed="false">
      <c r="C66" s="0" t="s">
        <v>235</v>
      </c>
      <c r="E66" s="104" t="s">
        <v>72</v>
      </c>
      <c r="H66" s="0"/>
      <c r="I66" s="122" t="n">
        <f aca="false">-Funding!I44</f>
        <v>0</v>
      </c>
      <c r="J66" s="122" t="n">
        <f aca="false">-Funding!J44</f>
        <v>0</v>
      </c>
      <c r="K66" s="122" t="n">
        <f aca="false">-Funding!K44</f>
        <v>0</v>
      </c>
      <c r="L66" s="122" t="n">
        <f aca="false">-Funding!L44</f>
        <v>0</v>
      </c>
      <c r="M66" s="122" t="n">
        <f aca="false">-Funding!M44</f>
        <v>0</v>
      </c>
      <c r="N66" s="122" t="n">
        <f aca="false">-Funding!N44</f>
        <v>0</v>
      </c>
      <c r="O66" s="122" t="n">
        <f aca="false">-Funding!O44</f>
        <v>0</v>
      </c>
      <c r="P66" s="122" t="n">
        <f aca="false">-Funding!P44</f>
        <v>0</v>
      </c>
      <c r="Q66" s="122" t="n">
        <f aca="false">-Funding!Q44</f>
        <v>0</v>
      </c>
      <c r="R66" s="122" t="n">
        <f aca="false">-Funding!R44</f>
        <v>0</v>
      </c>
      <c r="S66" s="122" t="n">
        <f aca="false">-Funding!S44</f>
        <v>0</v>
      </c>
      <c r="T66" s="122" t="n">
        <f aca="false">-Funding!T44</f>
        <v>0</v>
      </c>
      <c r="U66" s="122" t="n">
        <f aca="false">-Funding!U44</f>
        <v>0</v>
      </c>
      <c r="V66" s="122" t="n">
        <f aca="false">-Funding!V44</f>
        <v>0</v>
      </c>
      <c r="W66" s="122" t="n">
        <f aca="false">-Funding!W44</f>
        <v>0</v>
      </c>
      <c r="X66" s="122" t="n">
        <f aca="false">-Funding!X44</f>
        <v>0</v>
      </c>
      <c r="Y66" s="122" t="n">
        <f aca="false">-Funding!Y44</f>
        <v>0</v>
      </c>
      <c r="Z66" s="122" t="n">
        <f aca="false">-Funding!Z44</f>
        <v>0</v>
      </c>
      <c r="AA66" s="122" t="n">
        <f aca="false">-Funding!AA44</f>
        <v>0</v>
      </c>
      <c r="AB66" s="122" t="n">
        <f aca="false">-Funding!AB44</f>
        <v>0</v>
      </c>
      <c r="AC66" s="122" t="n">
        <f aca="false">-Funding!AC44</f>
        <v>0</v>
      </c>
      <c r="AD66" s="122" t="n">
        <f aca="false">-Funding!AD44</f>
        <v>0</v>
      </c>
      <c r="AE66" s="122" t="n">
        <f aca="false">-Funding!AE44</f>
        <v>0</v>
      </c>
      <c r="AF66" s="122" t="n">
        <f aca="false">-Funding!AF44</f>
        <v>0</v>
      </c>
      <c r="AG66" s="122" t="n">
        <f aca="false">-Funding!AG44</f>
        <v>0</v>
      </c>
      <c r="AH66" s="122" t="n">
        <f aca="false">-Funding!AH44</f>
        <v>0</v>
      </c>
      <c r="AI66" s="122" t="n">
        <f aca="false">-Funding!AI44</f>
        <v>0</v>
      </c>
      <c r="AJ66" s="122" t="n">
        <f aca="false">-Funding!AJ44</f>
        <v>0</v>
      </c>
      <c r="AK66" s="122" t="n">
        <f aca="false">-Funding!AK44</f>
        <v>0</v>
      </c>
      <c r="AL66" s="122" t="n">
        <f aca="false">-Funding!AL44</f>
        <v>0</v>
      </c>
    </row>
    <row r="67" customFormat="false" ht="15" hidden="false" customHeight="false" outlineLevel="0" collapsed="false">
      <c r="C67" s="126" t="s">
        <v>236</v>
      </c>
      <c r="E67" s="104" t="s">
        <v>72</v>
      </c>
      <c r="H67" s="0"/>
    </row>
    <row r="68" customFormat="false" ht="15" hidden="false" customHeight="false" outlineLevel="0" collapsed="false">
      <c r="C68" s="117" t="s">
        <v>237</v>
      </c>
      <c r="D68" s="117"/>
      <c r="E68" s="118" t="s">
        <v>72</v>
      </c>
      <c r="F68" s="117"/>
      <c r="G68" s="117"/>
      <c r="H68" s="119"/>
      <c r="I68" s="124" t="e">
        <f aca="false">SUM(I56:I67)</f>
        <v>#NAME?</v>
      </c>
      <c r="J68" s="124" t="e">
        <f aca="false">SUM(J56:J67)</f>
        <v>#NAME?</v>
      </c>
      <c r="K68" s="124" t="e">
        <f aca="false">SUM(K56:K67)</f>
        <v>#NAME?</v>
      </c>
      <c r="L68" s="124" t="e">
        <f aca="false">SUM(L56:L67)</f>
        <v>#NAME?</v>
      </c>
      <c r="M68" s="124" t="e">
        <f aca="false">SUM(M56:M67)</f>
        <v>#NAME?</v>
      </c>
      <c r="N68" s="124" t="e">
        <f aca="false">SUM(N56:N67)</f>
        <v>#NAME?</v>
      </c>
      <c r="O68" s="124" t="e">
        <f aca="false">SUM(O56:O67)</f>
        <v>#NAME?</v>
      </c>
      <c r="P68" s="124" t="e">
        <f aca="false">SUM(P56:P67)</f>
        <v>#NAME?</v>
      </c>
      <c r="Q68" s="124" t="e">
        <f aca="false">SUM(Q56:Q67)</f>
        <v>#NAME?</v>
      </c>
      <c r="R68" s="124" t="e">
        <f aca="false">SUM(R56:R67)</f>
        <v>#NAME?</v>
      </c>
      <c r="S68" s="124" t="e">
        <f aca="false">SUM(S56:S67)</f>
        <v>#NAME?</v>
      </c>
      <c r="T68" s="124" t="e">
        <f aca="false">SUM(T56:T67)</f>
        <v>#NAME?</v>
      </c>
      <c r="U68" s="124" t="e">
        <f aca="false">SUM(U56:U67)</f>
        <v>#NAME?</v>
      </c>
      <c r="V68" s="124" t="e">
        <f aca="false">SUM(V56:V67)</f>
        <v>#NAME?</v>
      </c>
      <c r="W68" s="124" t="e">
        <f aca="false">SUM(W56:W67)</f>
        <v>#NAME?</v>
      </c>
      <c r="X68" s="124" t="e">
        <f aca="false">SUM(X56:X67)</f>
        <v>#NAME?</v>
      </c>
      <c r="Y68" s="124" t="e">
        <f aca="false">SUM(Y56:Y67)</f>
        <v>#NAME?</v>
      </c>
      <c r="Z68" s="124" t="e">
        <f aca="false">SUM(Z56:Z67)</f>
        <v>#NAME?</v>
      </c>
      <c r="AA68" s="124" t="e">
        <f aca="false">SUM(AA56:AA67)</f>
        <v>#NAME?</v>
      </c>
      <c r="AB68" s="124" t="e">
        <f aca="false">SUM(AB56:AB67)</f>
        <v>#NAME?</v>
      </c>
      <c r="AC68" s="124" t="e">
        <f aca="false">SUM(AC56:AC67)</f>
        <v>#NAME?</v>
      </c>
      <c r="AD68" s="124" t="e">
        <f aca="false">SUM(AD56:AD67)</f>
        <v>#NAME?</v>
      </c>
      <c r="AE68" s="124" t="e">
        <f aca="false">SUM(AE56:AE67)</f>
        <v>#NAME?</v>
      </c>
      <c r="AF68" s="124" t="e">
        <f aca="false">SUM(AF56:AF67)</f>
        <v>#NAME?</v>
      </c>
      <c r="AG68" s="124" t="e">
        <f aca="false">SUM(AG56:AG67)</f>
        <v>#NAME?</v>
      </c>
      <c r="AH68" s="124" t="e">
        <f aca="false">SUM(AH56:AH67)</f>
        <v>#NAME?</v>
      </c>
      <c r="AI68" s="124" t="e">
        <f aca="false">SUM(AI56:AI67)</f>
        <v>#NAME?</v>
      </c>
      <c r="AJ68" s="124" t="e">
        <f aca="false">SUM(AJ56:AJ67)</f>
        <v>#NAME?</v>
      </c>
      <c r="AK68" s="124" t="e">
        <f aca="false">SUM(AK56:AK67)</f>
        <v>#NAME?</v>
      </c>
      <c r="AL68" s="124" t="e">
        <f aca="false">SUM(AL56:AL67)</f>
        <v>#NAME?</v>
      </c>
    </row>
    <row r="70" customFormat="false" ht="15" hidden="false" customHeight="false" outlineLevel="0" collapsed="false">
      <c r="B70" s="2" t="n">
        <f aca="false">(MAX($A$7:B69)+0.1)</f>
        <v>2.3</v>
      </c>
      <c r="C70" s="2" t="s">
        <v>238</v>
      </c>
      <c r="E70" s="0"/>
      <c r="H70" s="0"/>
    </row>
    <row r="71" customFormat="false" ht="15" hidden="false" customHeight="false" outlineLevel="0" collapsed="false">
      <c r="C71" s="0" t="s">
        <v>239</v>
      </c>
      <c r="E71" s="104" t="s">
        <v>72</v>
      </c>
      <c r="H71" s="0"/>
      <c r="I71" s="122" t="n">
        <f aca="false">Funding!I17</f>
        <v>19625364.4342008</v>
      </c>
      <c r="J71" s="122" t="n">
        <f aca="false">Funding!J17</f>
        <v>0</v>
      </c>
      <c r="K71" s="122" t="n">
        <f aca="false">Funding!K17</f>
        <v>0</v>
      </c>
      <c r="L71" s="122" t="n">
        <f aca="false">Funding!L17</f>
        <v>0</v>
      </c>
      <c r="M71" s="122" t="n">
        <f aca="false">Funding!M17</f>
        <v>0</v>
      </c>
      <c r="N71" s="122" t="n">
        <f aca="false">Funding!N17</f>
        <v>0</v>
      </c>
      <c r="O71" s="122" t="n">
        <f aca="false">Funding!O17</f>
        <v>0</v>
      </c>
      <c r="P71" s="122" t="n">
        <f aca="false">Funding!P17</f>
        <v>0</v>
      </c>
      <c r="Q71" s="122" t="n">
        <f aca="false">Funding!Q17</f>
        <v>0</v>
      </c>
      <c r="R71" s="122" t="n">
        <f aca="false">Funding!R17</f>
        <v>0</v>
      </c>
      <c r="S71" s="122" t="n">
        <f aca="false">Funding!S17</f>
        <v>0</v>
      </c>
      <c r="T71" s="122" t="n">
        <f aca="false">Funding!T17</f>
        <v>0</v>
      </c>
      <c r="U71" s="122" t="n">
        <f aca="false">Funding!U17</f>
        <v>0</v>
      </c>
      <c r="V71" s="122" t="n">
        <f aca="false">Funding!V17</f>
        <v>0</v>
      </c>
      <c r="W71" s="122" t="n">
        <f aca="false">Funding!W17</f>
        <v>0</v>
      </c>
      <c r="X71" s="122" t="n">
        <f aca="false">Funding!X17</f>
        <v>0</v>
      </c>
      <c r="Y71" s="122" t="n">
        <f aca="false">Funding!Y17</f>
        <v>0</v>
      </c>
      <c r="Z71" s="122" t="n">
        <f aca="false">Funding!Z17</f>
        <v>0</v>
      </c>
      <c r="AA71" s="122" t="n">
        <f aca="false">Funding!AA17</f>
        <v>0</v>
      </c>
      <c r="AB71" s="122" t="n">
        <f aca="false">Funding!AB17</f>
        <v>0</v>
      </c>
      <c r="AC71" s="122" t="n">
        <f aca="false">Funding!AC17</f>
        <v>0</v>
      </c>
      <c r="AD71" s="122" t="n">
        <f aca="false">Funding!AD17</f>
        <v>0</v>
      </c>
      <c r="AE71" s="122" t="n">
        <f aca="false">Funding!AE17</f>
        <v>0</v>
      </c>
      <c r="AF71" s="122" t="n">
        <f aca="false">Funding!AF17</f>
        <v>0</v>
      </c>
      <c r="AG71" s="122" t="n">
        <f aca="false">Funding!AG17</f>
        <v>0</v>
      </c>
      <c r="AH71" s="122" t="n">
        <f aca="false">Funding!AH17</f>
        <v>0</v>
      </c>
      <c r="AI71" s="122" t="n">
        <f aca="false">Funding!AI17</f>
        <v>0</v>
      </c>
      <c r="AJ71" s="122" t="n">
        <f aca="false">Funding!AJ17</f>
        <v>0</v>
      </c>
      <c r="AK71" s="122" t="n">
        <f aca="false">Funding!AK17</f>
        <v>0</v>
      </c>
      <c r="AL71" s="122" t="n">
        <f aca="false">Funding!AL17</f>
        <v>0</v>
      </c>
    </row>
    <row r="72" customFormat="false" ht="15" hidden="false" customHeight="false" outlineLevel="0" collapsed="false">
      <c r="C72" s="0" t="s">
        <v>240</v>
      </c>
      <c r="E72" s="104" t="s">
        <v>72</v>
      </c>
      <c r="H72" s="0"/>
      <c r="I72" s="122" t="e">
        <f aca="false">Funding!I18</f>
        <v>#VALUE!</v>
      </c>
      <c r="J72" s="122" t="e">
        <f aca="false">Funding!J18</f>
        <v>#VALUE!</v>
      </c>
      <c r="K72" s="122" t="e">
        <f aca="false">Funding!K18</f>
        <v>#VALUE!</v>
      </c>
      <c r="L72" s="122" t="e">
        <f aca="false">Funding!L18</f>
        <v>#VALUE!</v>
      </c>
      <c r="M72" s="122" t="e">
        <f aca="false">Funding!M18</f>
        <v>#VALUE!</v>
      </c>
      <c r="N72" s="122" t="e">
        <f aca="false">Funding!N18</f>
        <v>#VALUE!</v>
      </c>
      <c r="O72" s="122" t="e">
        <f aca="false">Funding!O18</f>
        <v>#VALUE!</v>
      </c>
      <c r="P72" s="122" t="e">
        <f aca="false">Funding!P18</f>
        <v>#VALUE!</v>
      </c>
      <c r="Q72" s="122" t="e">
        <f aca="false">Funding!Q18</f>
        <v>#VALUE!</v>
      </c>
      <c r="R72" s="122" t="e">
        <f aca="false">Funding!R18</f>
        <v>#VALUE!</v>
      </c>
      <c r="S72" s="122" t="e">
        <f aca="false">Funding!S18</f>
        <v>#VALUE!</v>
      </c>
      <c r="T72" s="122" t="e">
        <f aca="false">Funding!T18</f>
        <v>#VALUE!</v>
      </c>
      <c r="U72" s="122" t="e">
        <f aca="false">Funding!U18</f>
        <v>#VALUE!</v>
      </c>
      <c r="V72" s="122" t="e">
        <f aca="false">Funding!V18</f>
        <v>#VALUE!</v>
      </c>
      <c r="W72" s="122" t="e">
        <f aca="false">Funding!W18</f>
        <v>#VALUE!</v>
      </c>
      <c r="X72" s="122" t="e">
        <f aca="false">Funding!X18</f>
        <v>#VALUE!</v>
      </c>
      <c r="Y72" s="122" t="e">
        <f aca="false">Funding!Y18</f>
        <v>#VALUE!</v>
      </c>
      <c r="Z72" s="122" t="e">
        <f aca="false">Funding!Z18</f>
        <v>#VALUE!</v>
      </c>
      <c r="AA72" s="122" t="e">
        <f aca="false">Funding!AA18</f>
        <v>#VALUE!</v>
      </c>
      <c r="AB72" s="122" t="e">
        <f aca="false">Funding!AB18</f>
        <v>#VALUE!</v>
      </c>
      <c r="AC72" s="122" t="e">
        <f aca="false">Funding!AC18</f>
        <v>#VALUE!</v>
      </c>
      <c r="AD72" s="122" t="e">
        <f aca="false">Funding!AD18</f>
        <v>#VALUE!</v>
      </c>
      <c r="AE72" s="122" t="e">
        <f aca="false">Funding!AE18</f>
        <v>#VALUE!</v>
      </c>
      <c r="AF72" s="122" t="e">
        <f aca="false">Funding!AF18</f>
        <v>#VALUE!</v>
      </c>
      <c r="AG72" s="122" t="e">
        <f aca="false">Funding!AG18</f>
        <v>#VALUE!</v>
      </c>
      <c r="AH72" s="122" t="e">
        <f aca="false">Funding!AH18</f>
        <v>#VALUE!</v>
      </c>
      <c r="AI72" s="122" t="e">
        <f aca="false">Funding!AI18</f>
        <v>#VALUE!</v>
      </c>
      <c r="AJ72" s="122" t="e">
        <f aca="false">Funding!AJ18</f>
        <v>#VALUE!</v>
      </c>
      <c r="AK72" s="122" t="e">
        <f aca="false">Funding!AK18</f>
        <v>#VALUE!</v>
      </c>
      <c r="AL72" s="122" t="e">
        <f aca="false">Funding!AL18</f>
        <v>#VALUE!</v>
      </c>
    </row>
    <row r="73" customFormat="false" ht="15" hidden="false" customHeight="false" outlineLevel="0" collapsed="false">
      <c r="C73" s="0" t="s">
        <v>241</v>
      </c>
      <c r="E73" s="104" t="s">
        <v>72</v>
      </c>
      <c r="H73" s="0"/>
      <c r="I73" s="122" t="e">
        <f aca="false">Funding!I22</f>
        <v>#VALUE!</v>
      </c>
      <c r="J73" s="122" t="e">
        <f aca="false">Funding!J22</f>
        <v>#VALUE!</v>
      </c>
      <c r="K73" s="122" t="e">
        <f aca="false">Funding!K22</f>
        <v>#VALUE!</v>
      </c>
      <c r="L73" s="122" t="e">
        <f aca="false">Funding!L22</f>
        <v>#VALUE!</v>
      </c>
      <c r="M73" s="122" t="e">
        <f aca="false">Funding!M22</f>
        <v>#VALUE!</v>
      </c>
      <c r="N73" s="122" t="e">
        <f aca="false">Funding!N22</f>
        <v>#VALUE!</v>
      </c>
      <c r="O73" s="122" t="e">
        <f aca="false">Funding!O22</f>
        <v>#VALUE!</v>
      </c>
      <c r="P73" s="122" t="e">
        <f aca="false">Funding!P22</f>
        <v>#VALUE!</v>
      </c>
      <c r="Q73" s="122" t="e">
        <f aca="false">Funding!Q22</f>
        <v>#VALUE!</v>
      </c>
      <c r="R73" s="122" t="e">
        <f aca="false">Funding!R22</f>
        <v>#VALUE!</v>
      </c>
      <c r="S73" s="122" t="e">
        <f aca="false">Funding!S22</f>
        <v>#VALUE!</v>
      </c>
      <c r="T73" s="122" t="e">
        <f aca="false">Funding!T22</f>
        <v>#VALUE!</v>
      </c>
      <c r="U73" s="122" t="e">
        <f aca="false">Funding!U22</f>
        <v>#VALUE!</v>
      </c>
      <c r="V73" s="122" t="e">
        <f aca="false">Funding!V22</f>
        <v>#VALUE!</v>
      </c>
      <c r="W73" s="122" t="e">
        <f aca="false">Funding!W22</f>
        <v>#VALUE!</v>
      </c>
      <c r="X73" s="122" t="e">
        <f aca="false">Funding!X22</f>
        <v>#VALUE!</v>
      </c>
      <c r="Y73" s="122" t="e">
        <f aca="false">Funding!Y22</f>
        <v>#VALUE!</v>
      </c>
      <c r="Z73" s="122" t="e">
        <f aca="false">Funding!Z22</f>
        <v>#VALUE!</v>
      </c>
      <c r="AA73" s="122" t="e">
        <f aca="false">Funding!AA22</f>
        <v>#VALUE!</v>
      </c>
      <c r="AB73" s="122" t="e">
        <f aca="false">Funding!AB22</f>
        <v>#VALUE!</v>
      </c>
      <c r="AC73" s="122" t="e">
        <f aca="false">Funding!AC22</f>
        <v>#VALUE!</v>
      </c>
      <c r="AD73" s="122" t="e">
        <f aca="false">Funding!AD22</f>
        <v>#VALUE!</v>
      </c>
      <c r="AE73" s="122" t="e">
        <f aca="false">Funding!AE22</f>
        <v>#VALUE!</v>
      </c>
      <c r="AF73" s="122" t="e">
        <f aca="false">Funding!AF22</f>
        <v>#VALUE!</v>
      </c>
      <c r="AG73" s="122" t="e">
        <f aca="false">Funding!AG22</f>
        <v>#VALUE!</v>
      </c>
      <c r="AH73" s="122" t="e">
        <f aca="false">Funding!AH22</f>
        <v>#VALUE!</v>
      </c>
      <c r="AI73" s="122" t="e">
        <f aca="false">Funding!AI22</f>
        <v>#VALUE!</v>
      </c>
      <c r="AJ73" s="122" t="e">
        <f aca="false">Funding!AJ22</f>
        <v>#VALUE!</v>
      </c>
      <c r="AK73" s="122" t="e">
        <f aca="false">Funding!AK22</f>
        <v>#VALUE!</v>
      </c>
      <c r="AL73" s="122" t="e">
        <f aca="false">Funding!AL22</f>
        <v>#VALUE!</v>
      </c>
    </row>
    <row r="74" customFormat="false" ht="15" hidden="false" customHeight="false" outlineLevel="0" collapsed="false">
      <c r="C74" s="0" t="s">
        <v>242</v>
      </c>
      <c r="E74" s="104" t="s">
        <v>72</v>
      </c>
      <c r="H74" s="0"/>
      <c r="I74" s="122" t="e">
        <f aca="false">Funding!I23</f>
        <v>#NAME?</v>
      </c>
      <c r="J74" s="122" t="e">
        <f aca="false">Funding!J23</f>
        <v>#NAME?</v>
      </c>
      <c r="K74" s="122" t="e">
        <f aca="false">Funding!K23</f>
        <v>#NAME?</v>
      </c>
      <c r="L74" s="122" t="e">
        <f aca="false">Funding!L23</f>
        <v>#NAME?</v>
      </c>
      <c r="M74" s="122" t="e">
        <f aca="false">Funding!M23</f>
        <v>#NAME?</v>
      </c>
      <c r="N74" s="122" t="e">
        <f aca="false">Funding!N23</f>
        <v>#NAME?</v>
      </c>
      <c r="O74" s="122" t="e">
        <f aca="false">Funding!O23</f>
        <v>#NAME?</v>
      </c>
      <c r="P74" s="122" t="e">
        <f aca="false">Funding!P23</f>
        <v>#NAME?</v>
      </c>
      <c r="Q74" s="122" t="e">
        <f aca="false">Funding!Q23</f>
        <v>#NAME?</v>
      </c>
      <c r="R74" s="122" t="e">
        <f aca="false">Funding!R23</f>
        <v>#NAME?</v>
      </c>
      <c r="S74" s="122" t="e">
        <f aca="false">Funding!S23</f>
        <v>#NAME?</v>
      </c>
      <c r="T74" s="122" t="e">
        <f aca="false">Funding!T23</f>
        <v>#NAME?</v>
      </c>
      <c r="U74" s="122" t="e">
        <f aca="false">Funding!U23</f>
        <v>#NAME?</v>
      </c>
      <c r="V74" s="122" t="e">
        <f aca="false">Funding!V23</f>
        <v>#NAME?</v>
      </c>
      <c r="W74" s="122" t="e">
        <f aca="false">Funding!W23</f>
        <v>#NAME?</v>
      </c>
      <c r="X74" s="122" t="e">
        <f aca="false">Funding!X23</f>
        <v>#NAME?</v>
      </c>
      <c r="Y74" s="122" t="e">
        <f aca="false">Funding!Y23</f>
        <v>#NAME?</v>
      </c>
      <c r="Z74" s="122" t="e">
        <f aca="false">Funding!Z23</f>
        <v>#NAME?</v>
      </c>
      <c r="AA74" s="122" t="e">
        <f aca="false">Funding!AA23</f>
        <v>#NAME?</v>
      </c>
      <c r="AB74" s="122" t="e">
        <f aca="false">Funding!AB23</f>
        <v>#NAME?</v>
      </c>
      <c r="AC74" s="122" t="e">
        <f aca="false">Funding!AC23</f>
        <v>#NAME?</v>
      </c>
      <c r="AD74" s="122" t="e">
        <f aca="false">Funding!AD23</f>
        <v>#NAME?</v>
      </c>
      <c r="AE74" s="122" t="e">
        <f aca="false">Funding!AE23</f>
        <v>#NAME?</v>
      </c>
      <c r="AF74" s="122" t="e">
        <f aca="false">Funding!AF23</f>
        <v>#NAME?</v>
      </c>
      <c r="AG74" s="122" t="e">
        <f aca="false">Funding!AG23</f>
        <v>#NAME?</v>
      </c>
      <c r="AH74" s="122" t="e">
        <f aca="false">Funding!AH23</f>
        <v>#NAME?</v>
      </c>
      <c r="AI74" s="122" t="e">
        <f aca="false">Funding!AI23</f>
        <v>#NAME?</v>
      </c>
      <c r="AJ74" s="122" t="e">
        <f aca="false">Funding!AJ23</f>
        <v>#NAME?</v>
      </c>
      <c r="AK74" s="122" t="e">
        <f aca="false">Funding!AK23</f>
        <v>#NAME?</v>
      </c>
      <c r="AL74" s="122" t="e">
        <f aca="false">Funding!AL23</f>
        <v>#NAME?</v>
      </c>
    </row>
    <row r="75" customFormat="false" ht="15" hidden="false" customHeight="false" outlineLevel="0" collapsed="false">
      <c r="C75" s="0" t="s">
        <v>243</v>
      </c>
      <c r="E75" s="104" t="s">
        <v>72</v>
      </c>
      <c r="H75" s="0"/>
      <c r="I75" s="122" t="e">
        <f aca="false">Funding!I24</f>
        <v>#NAME?</v>
      </c>
      <c r="J75" s="122" t="e">
        <f aca="false">Funding!J24</f>
        <v>#NAME?</v>
      </c>
      <c r="K75" s="122" t="e">
        <f aca="false">Funding!K24</f>
        <v>#NAME?</v>
      </c>
      <c r="L75" s="122" t="e">
        <f aca="false">Funding!L24</f>
        <v>#NAME?</v>
      </c>
      <c r="M75" s="122" t="e">
        <f aca="false">Funding!M24</f>
        <v>#NAME?</v>
      </c>
      <c r="N75" s="122" t="e">
        <f aca="false">Funding!N24</f>
        <v>#NAME?</v>
      </c>
      <c r="O75" s="122" t="e">
        <f aca="false">Funding!O24</f>
        <v>#NAME?</v>
      </c>
      <c r="P75" s="122" t="e">
        <f aca="false">Funding!P24</f>
        <v>#NAME?</v>
      </c>
      <c r="Q75" s="122" t="e">
        <f aca="false">Funding!Q24</f>
        <v>#NAME?</v>
      </c>
      <c r="R75" s="122" t="e">
        <f aca="false">Funding!R24</f>
        <v>#NAME?</v>
      </c>
      <c r="S75" s="122" t="e">
        <f aca="false">Funding!S24</f>
        <v>#NAME?</v>
      </c>
      <c r="T75" s="122" t="e">
        <f aca="false">Funding!T24</f>
        <v>#NAME?</v>
      </c>
      <c r="U75" s="122" t="e">
        <f aca="false">Funding!U24</f>
        <v>#NAME?</v>
      </c>
      <c r="V75" s="122" t="e">
        <f aca="false">Funding!V24</f>
        <v>#NAME?</v>
      </c>
      <c r="W75" s="122" t="e">
        <f aca="false">Funding!W24</f>
        <v>#NAME?</v>
      </c>
      <c r="X75" s="122" t="e">
        <f aca="false">Funding!X24</f>
        <v>#NAME?</v>
      </c>
      <c r="Y75" s="122" t="e">
        <f aca="false">Funding!Y24</f>
        <v>#NAME?</v>
      </c>
      <c r="Z75" s="122" t="e">
        <f aca="false">Funding!Z24</f>
        <v>#NAME?</v>
      </c>
      <c r="AA75" s="122" t="e">
        <f aca="false">Funding!AA24</f>
        <v>#NAME?</v>
      </c>
      <c r="AB75" s="122" t="e">
        <f aca="false">Funding!AB24</f>
        <v>#NAME?</v>
      </c>
      <c r="AC75" s="122" t="e">
        <f aca="false">Funding!AC24</f>
        <v>#NAME?</v>
      </c>
      <c r="AD75" s="122" t="e">
        <f aca="false">Funding!AD24</f>
        <v>#NAME?</v>
      </c>
      <c r="AE75" s="122" t="e">
        <f aca="false">Funding!AE24</f>
        <v>#NAME?</v>
      </c>
      <c r="AF75" s="122" t="e">
        <f aca="false">Funding!AF24</f>
        <v>#NAME?</v>
      </c>
      <c r="AG75" s="122" t="e">
        <f aca="false">Funding!AG24</f>
        <v>#NAME?</v>
      </c>
      <c r="AH75" s="122" t="e">
        <f aca="false">Funding!AH24</f>
        <v>#NAME?</v>
      </c>
      <c r="AI75" s="122" t="e">
        <f aca="false">Funding!AI24</f>
        <v>#NAME?</v>
      </c>
      <c r="AJ75" s="122" t="e">
        <f aca="false">Funding!AJ24</f>
        <v>#NAME?</v>
      </c>
      <c r="AK75" s="122" t="e">
        <f aca="false">Funding!AK24</f>
        <v>#NAME?</v>
      </c>
      <c r="AL75" s="122" t="e">
        <f aca="false">Funding!AL24</f>
        <v>#NAME?</v>
      </c>
    </row>
    <row r="76" customFormat="false" ht="15" hidden="false" customHeight="false" outlineLevel="0" collapsed="false">
      <c r="C76" s="117" t="s">
        <v>244</v>
      </c>
      <c r="D76" s="117"/>
      <c r="E76" s="118" t="s">
        <v>72</v>
      </c>
      <c r="F76" s="117"/>
      <c r="G76" s="117"/>
      <c r="H76" s="119"/>
      <c r="I76" s="124" t="e">
        <f aca="false">SUM(I71:I75)</f>
        <v>#VALUE!</v>
      </c>
      <c r="J76" s="124" t="e">
        <f aca="false">SUM(J71:J75)</f>
        <v>#VALUE!</v>
      </c>
      <c r="K76" s="124" t="e">
        <f aca="false">SUM(K71:K75)</f>
        <v>#VALUE!</v>
      </c>
      <c r="L76" s="124" t="e">
        <f aca="false">SUM(L71:L75)</f>
        <v>#VALUE!</v>
      </c>
      <c r="M76" s="124" t="e">
        <f aca="false">SUM(M71:M75)</f>
        <v>#VALUE!</v>
      </c>
      <c r="N76" s="124" t="e">
        <f aca="false">SUM(N71:N75)</f>
        <v>#VALUE!</v>
      </c>
      <c r="O76" s="124" t="e">
        <f aca="false">SUM(O71:O75)</f>
        <v>#VALUE!</v>
      </c>
      <c r="P76" s="124" t="e">
        <f aca="false">SUM(P71:P75)</f>
        <v>#VALUE!</v>
      </c>
      <c r="Q76" s="124" t="e">
        <f aca="false">SUM(Q71:Q75)</f>
        <v>#VALUE!</v>
      </c>
      <c r="R76" s="124" t="e">
        <f aca="false">SUM(R71:R75)</f>
        <v>#VALUE!</v>
      </c>
      <c r="S76" s="124" t="e">
        <f aca="false">SUM(S71:S75)</f>
        <v>#VALUE!</v>
      </c>
      <c r="T76" s="124" t="e">
        <f aca="false">SUM(T71:T75)</f>
        <v>#VALUE!</v>
      </c>
      <c r="U76" s="124" t="e">
        <f aca="false">SUM(U71:U75)</f>
        <v>#VALUE!</v>
      </c>
      <c r="V76" s="124" t="e">
        <f aca="false">SUM(V71:V75)</f>
        <v>#VALUE!</v>
      </c>
      <c r="W76" s="124" t="e">
        <f aca="false">SUM(W71:W75)</f>
        <v>#VALUE!</v>
      </c>
      <c r="X76" s="124" t="e">
        <f aca="false">SUM(X71:X75)</f>
        <v>#VALUE!</v>
      </c>
      <c r="Y76" s="124" t="e">
        <f aca="false">SUM(Y71:Y75)</f>
        <v>#VALUE!</v>
      </c>
      <c r="Z76" s="124" t="e">
        <f aca="false">SUM(Z71:Z75)</f>
        <v>#VALUE!</v>
      </c>
      <c r="AA76" s="124" t="e">
        <f aca="false">SUM(AA71:AA75)</f>
        <v>#VALUE!</v>
      </c>
      <c r="AB76" s="124" t="e">
        <f aca="false">SUM(AB71:AB75)</f>
        <v>#VALUE!</v>
      </c>
      <c r="AC76" s="124" t="e">
        <f aca="false">SUM(AC71:AC75)</f>
        <v>#VALUE!</v>
      </c>
      <c r="AD76" s="124" t="e">
        <f aca="false">SUM(AD71:AD75)</f>
        <v>#VALUE!</v>
      </c>
      <c r="AE76" s="124" t="e">
        <f aca="false">SUM(AE71:AE75)</f>
        <v>#VALUE!</v>
      </c>
      <c r="AF76" s="124" t="e">
        <f aca="false">SUM(AF71:AF75)</f>
        <v>#VALUE!</v>
      </c>
      <c r="AG76" s="124" t="e">
        <f aca="false">SUM(AG71:AG75)</f>
        <v>#VALUE!</v>
      </c>
      <c r="AH76" s="124" t="e">
        <f aca="false">SUM(AH71:AH75)</f>
        <v>#VALUE!</v>
      </c>
      <c r="AI76" s="124" t="e">
        <f aca="false">SUM(AI71:AI75)</f>
        <v>#VALUE!</v>
      </c>
      <c r="AJ76" s="124" t="e">
        <f aca="false">SUM(AJ71:AJ75)</f>
        <v>#VALUE!</v>
      </c>
      <c r="AK76" s="124" t="e">
        <f aca="false">SUM(AK71:AK75)</f>
        <v>#VALUE!</v>
      </c>
      <c r="AL76" s="124" t="e">
        <f aca="false">SUM(AL71:AL75)</f>
        <v>#VALUE!</v>
      </c>
    </row>
    <row r="78" customFormat="false" ht="15" hidden="false" customHeight="false" outlineLevel="0" collapsed="false">
      <c r="C78" s="2" t="s">
        <v>245</v>
      </c>
      <c r="D78" s="2"/>
      <c r="E78" s="127" t="s">
        <v>72</v>
      </c>
      <c r="F78" s="2"/>
      <c r="G78" s="128" t="e">
        <f aca="false">SUM(I78:AL78)</f>
        <v>#VALUE!</v>
      </c>
      <c r="H78" s="129"/>
      <c r="I78" s="130" t="e">
        <f aca="false">I53</f>
        <v>#VALUE!</v>
      </c>
      <c r="J78" s="130" t="e">
        <f aca="false">J53</f>
        <v>#VALUE!</v>
      </c>
      <c r="K78" s="130" t="e">
        <f aca="false">K53</f>
        <v>#VALUE!</v>
      </c>
      <c r="L78" s="130" t="e">
        <f aca="false">L53</f>
        <v>#VALUE!</v>
      </c>
      <c r="M78" s="130" t="e">
        <f aca="false">M53</f>
        <v>#VALUE!</v>
      </c>
      <c r="N78" s="130" t="e">
        <f aca="false">N53</f>
        <v>#VALUE!</v>
      </c>
      <c r="O78" s="130" t="e">
        <f aca="false">O53</f>
        <v>#VALUE!</v>
      </c>
      <c r="P78" s="130" t="e">
        <f aca="false">P53</f>
        <v>#VALUE!</v>
      </c>
      <c r="Q78" s="130" t="e">
        <f aca="false">Q53</f>
        <v>#VALUE!</v>
      </c>
      <c r="R78" s="130" t="e">
        <f aca="false">R53</f>
        <v>#VALUE!</v>
      </c>
      <c r="S78" s="130" t="e">
        <f aca="false">S53</f>
        <v>#VALUE!</v>
      </c>
      <c r="T78" s="130" t="e">
        <f aca="false">T53</f>
        <v>#VALUE!</v>
      </c>
      <c r="U78" s="130" t="e">
        <f aca="false">U53</f>
        <v>#VALUE!</v>
      </c>
      <c r="V78" s="130" t="e">
        <f aca="false">V53</f>
        <v>#VALUE!</v>
      </c>
      <c r="W78" s="130" t="e">
        <f aca="false">W53</f>
        <v>#VALUE!</v>
      </c>
      <c r="X78" s="130" t="e">
        <f aca="false">X53</f>
        <v>#VALUE!</v>
      </c>
      <c r="Y78" s="130" t="e">
        <f aca="false">Y53</f>
        <v>#VALUE!</v>
      </c>
      <c r="Z78" s="130" t="e">
        <f aca="false">Z53</f>
        <v>#VALUE!</v>
      </c>
      <c r="AA78" s="130" t="e">
        <f aca="false">AA53</f>
        <v>#VALUE!</v>
      </c>
      <c r="AB78" s="130" t="e">
        <f aca="false">AB53</f>
        <v>#VALUE!</v>
      </c>
      <c r="AC78" s="130" t="e">
        <f aca="false">AC53</f>
        <v>#VALUE!</v>
      </c>
      <c r="AD78" s="130" t="e">
        <f aca="false">AD53</f>
        <v>#VALUE!</v>
      </c>
      <c r="AE78" s="130" t="e">
        <f aca="false">AE53</f>
        <v>#VALUE!</v>
      </c>
      <c r="AF78" s="130" t="e">
        <f aca="false">AF53</f>
        <v>#VALUE!</v>
      </c>
      <c r="AG78" s="130" t="e">
        <f aca="false">AG53</f>
        <v>#VALUE!</v>
      </c>
      <c r="AH78" s="130" t="e">
        <f aca="false">AH53</f>
        <v>#VALUE!</v>
      </c>
      <c r="AI78" s="130" t="e">
        <f aca="false">AI53</f>
        <v>#VALUE!</v>
      </c>
      <c r="AJ78" s="130" t="e">
        <f aca="false">AJ53</f>
        <v>#VALUE!</v>
      </c>
      <c r="AK78" s="130" t="e">
        <f aca="false">AK53</f>
        <v>#VALUE!</v>
      </c>
      <c r="AL78" s="130" t="e">
        <f aca="false">AL53</f>
        <v>#VALUE!</v>
      </c>
    </row>
    <row r="79" customFormat="false" ht="15" hidden="false" customHeight="false" outlineLevel="0" collapsed="false">
      <c r="E79" s="0"/>
      <c r="G79" s="131"/>
      <c r="H79" s="0"/>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row>
    <row r="80" customFormat="false" ht="15" hidden="false" customHeight="false" outlineLevel="0" collapsed="false">
      <c r="C80" s="0" t="s">
        <v>246</v>
      </c>
      <c r="E80" s="104" t="s">
        <v>72</v>
      </c>
      <c r="G80" s="65" t="e">
        <f aca="false">SUM(I80:AL80)</f>
        <v>#VALUE!</v>
      </c>
      <c r="H80" s="0"/>
      <c r="I80" s="65" t="e">
        <f aca="false">Funding!I73</f>
        <v>#VALUE!</v>
      </c>
      <c r="J80" s="65" t="e">
        <f aca="false">Funding!J73</f>
        <v>#VALUE!</v>
      </c>
      <c r="K80" s="65" t="e">
        <f aca="false">Funding!K73</f>
        <v>#VALUE!</v>
      </c>
      <c r="L80" s="65" t="e">
        <f aca="false">Funding!L73</f>
        <v>#VALUE!</v>
      </c>
      <c r="M80" s="65" t="e">
        <f aca="false">Funding!M73</f>
        <v>#VALUE!</v>
      </c>
      <c r="N80" s="65" t="e">
        <f aca="false">Funding!N73</f>
        <v>#VALUE!</v>
      </c>
      <c r="O80" s="65" t="e">
        <f aca="false">Funding!O73</f>
        <v>#VALUE!</v>
      </c>
      <c r="P80" s="65" t="e">
        <f aca="false">Funding!P73</f>
        <v>#VALUE!</v>
      </c>
      <c r="Q80" s="65" t="e">
        <f aca="false">Funding!Q73</f>
        <v>#VALUE!</v>
      </c>
      <c r="R80" s="65" t="e">
        <f aca="false">Funding!R73</f>
        <v>#VALUE!</v>
      </c>
      <c r="S80" s="65" t="e">
        <f aca="false">Funding!S73</f>
        <v>#VALUE!</v>
      </c>
      <c r="T80" s="65" t="e">
        <f aca="false">Funding!T73</f>
        <v>#VALUE!</v>
      </c>
      <c r="U80" s="65" t="e">
        <f aca="false">Funding!U73</f>
        <v>#VALUE!</v>
      </c>
      <c r="V80" s="65" t="e">
        <f aca="false">Funding!V73</f>
        <v>#VALUE!</v>
      </c>
      <c r="W80" s="65" t="e">
        <f aca="false">Funding!W73</f>
        <v>#VALUE!</v>
      </c>
      <c r="X80" s="65" t="e">
        <f aca="false">Funding!X73</f>
        <v>#VALUE!</v>
      </c>
      <c r="Y80" s="65" t="e">
        <f aca="false">Funding!Y73</f>
        <v>#VALUE!</v>
      </c>
      <c r="Z80" s="65" t="e">
        <f aca="false">Funding!Z73</f>
        <v>#VALUE!</v>
      </c>
      <c r="AA80" s="65" t="e">
        <f aca="false">Funding!AA73</f>
        <v>#VALUE!</v>
      </c>
      <c r="AB80" s="65" t="e">
        <f aca="false">Funding!AB73</f>
        <v>#VALUE!</v>
      </c>
      <c r="AC80" s="65" t="e">
        <f aca="false">Funding!AC73</f>
        <v>#VALUE!</v>
      </c>
      <c r="AD80" s="65" t="e">
        <f aca="false">Funding!AD73</f>
        <v>#VALUE!</v>
      </c>
      <c r="AE80" s="65" t="e">
        <f aca="false">Funding!AE73</f>
        <v>#VALUE!</v>
      </c>
      <c r="AF80" s="65" t="e">
        <f aca="false">Funding!AF73</f>
        <v>#VALUE!</v>
      </c>
      <c r="AG80" s="65" t="e">
        <f aca="false">Funding!AG73</f>
        <v>#VALUE!</v>
      </c>
      <c r="AH80" s="65" t="e">
        <f aca="false">Funding!AH73</f>
        <v>#VALUE!</v>
      </c>
      <c r="AI80" s="65" t="e">
        <f aca="false">Funding!AI73</f>
        <v>#VALUE!</v>
      </c>
      <c r="AJ80" s="65" t="e">
        <f aca="false">Funding!AJ73</f>
        <v>#VALUE!</v>
      </c>
      <c r="AK80" s="65" t="e">
        <f aca="false">Funding!AK73</f>
        <v>#VALUE!</v>
      </c>
      <c r="AL80" s="65" t="e">
        <f aca="false">Funding!AL73</f>
        <v>#VALUE!</v>
      </c>
    </row>
    <row r="81" customFormat="false" ht="15" hidden="false" customHeight="false" outlineLevel="0" collapsed="false">
      <c r="C81" s="0" t="s">
        <v>247</v>
      </c>
      <c r="E81" s="104" t="s">
        <v>72</v>
      </c>
      <c r="G81" s="65" t="n">
        <f aca="false">SUM(I81:AL81)</f>
        <v>0</v>
      </c>
      <c r="H81" s="0"/>
      <c r="I81" s="65" t="n">
        <f aca="false">Funding!I74</f>
        <v>0</v>
      </c>
      <c r="J81" s="65" t="n">
        <f aca="false">Funding!J74</f>
        <v>0</v>
      </c>
      <c r="K81" s="65" t="n">
        <f aca="false">Funding!K74</f>
        <v>0</v>
      </c>
      <c r="L81" s="65" t="n">
        <f aca="false">Funding!L74</f>
        <v>0</v>
      </c>
      <c r="M81" s="65" t="n">
        <f aca="false">Funding!M74</f>
        <v>0</v>
      </c>
      <c r="N81" s="65" t="n">
        <f aca="false">Funding!N74</f>
        <v>0</v>
      </c>
      <c r="O81" s="65" t="n">
        <f aca="false">Funding!O74</f>
        <v>0</v>
      </c>
      <c r="P81" s="65" t="n">
        <f aca="false">Funding!P74</f>
        <v>0</v>
      </c>
      <c r="Q81" s="65" t="n">
        <f aca="false">Funding!Q74</f>
        <v>0</v>
      </c>
      <c r="R81" s="65" t="n">
        <f aca="false">Funding!R74</f>
        <v>0</v>
      </c>
      <c r="S81" s="65" t="n">
        <f aca="false">Funding!S74</f>
        <v>0</v>
      </c>
      <c r="T81" s="65" t="n">
        <f aca="false">Funding!T74</f>
        <v>0</v>
      </c>
      <c r="U81" s="65" t="n">
        <f aca="false">Funding!U74</f>
        <v>0</v>
      </c>
      <c r="V81" s="65" t="n">
        <f aca="false">Funding!V74</f>
        <v>0</v>
      </c>
      <c r="W81" s="65" t="n">
        <f aca="false">Funding!W74</f>
        <v>0</v>
      </c>
      <c r="X81" s="65" t="n">
        <f aca="false">Funding!X74</f>
        <v>0</v>
      </c>
      <c r="Y81" s="65" t="n">
        <f aca="false">Funding!Y74</f>
        <v>0</v>
      </c>
      <c r="Z81" s="65" t="n">
        <f aca="false">Funding!Z74</f>
        <v>0</v>
      </c>
      <c r="AA81" s="65" t="n">
        <f aca="false">Funding!AA74</f>
        <v>0</v>
      </c>
      <c r="AB81" s="65" t="n">
        <f aca="false">Funding!AB74</f>
        <v>0</v>
      </c>
      <c r="AC81" s="65" t="n">
        <f aca="false">Funding!AC74</f>
        <v>0</v>
      </c>
      <c r="AD81" s="65" t="n">
        <f aca="false">Funding!AD74</f>
        <v>0</v>
      </c>
      <c r="AE81" s="65" t="n">
        <f aca="false">Funding!AE74</f>
        <v>0</v>
      </c>
      <c r="AF81" s="65" t="n">
        <f aca="false">Funding!AF74</f>
        <v>0</v>
      </c>
      <c r="AG81" s="65" t="n">
        <f aca="false">Funding!AG74</f>
        <v>0</v>
      </c>
      <c r="AH81" s="65" t="n">
        <f aca="false">Funding!AH74</f>
        <v>0</v>
      </c>
      <c r="AI81" s="65" t="n">
        <f aca="false">Funding!AI74</f>
        <v>0</v>
      </c>
      <c r="AJ81" s="65" t="n">
        <f aca="false">Funding!AJ74</f>
        <v>0</v>
      </c>
      <c r="AK81" s="65" t="n">
        <f aca="false">Funding!AK74</f>
        <v>0</v>
      </c>
      <c r="AL81" s="65" t="n">
        <f aca="false">Funding!AL74</f>
        <v>0</v>
      </c>
    </row>
    <row r="82" customFormat="false" ht="15" hidden="false" customHeight="false" outlineLevel="0" collapsed="false">
      <c r="C82" s="0" t="s">
        <v>212</v>
      </c>
      <c r="E82" s="104" t="s">
        <v>72</v>
      </c>
      <c r="G82" s="65" t="e">
        <f aca="false">SUM(I82:AL82)</f>
        <v>#VALUE!</v>
      </c>
      <c r="H82" s="0"/>
      <c r="I82" s="65" t="e">
        <f aca="false">I31</f>
        <v>#VALUE!</v>
      </c>
      <c r="J82" s="65" t="e">
        <f aca="false">J31</f>
        <v>#VALUE!</v>
      </c>
      <c r="K82" s="65" t="e">
        <f aca="false">K31</f>
        <v>#VALUE!</v>
      </c>
      <c r="L82" s="65" t="e">
        <f aca="false">L31</f>
        <v>#VALUE!</v>
      </c>
      <c r="M82" s="65" t="e">
        <f aca="false">M31</f>
        <v>#VALUE!</v>
      </c>
      <c r="N82" s="65" t="e">
        <f aca="false">N31</f>
        <v>#VALUE!</v>
      </c>
      <c r="O82" s="65" t="e">
        <f aca="false">O31</f>
        <v>#VALUE!</v>
      </c>
      <c r="P82" s="65" t="e">
        <f aca="false">P31</f>
        <v>#VALUE!</v>
      </c>
      <c r="Q82" s="65" t="e">
        <f aca="false">Q31</f>
        <v>#VALUE!</v>
      </c>
      <c r="R82" s="65" t="e">
        <f aca="false">R31</f>
        <v>#VALUE!</v>
      </c>
      <c r="S82" s="65" t="e">
        <f aca="false">S31</f>
        <v>#VALUE!</v>
      </c>
      <c r="T82" s="65" t="e">
        <f aca="false">T31</f>
        <v>#VALUE!</v>
      </c>
      <c r="U82" s="65" t="e">
        <f aca="false">U31</f>
        <v>#VALUE!</v>
      </c>
      <c r="V82" s="65" t="e">
        <f aca="false">V31</f>
        <v>#VALUE!</v>
      </c>
      <c r="W82" s="65" t="e">
        <f aca="false">W31</f>
        <v>#VALUE!</v>
      </c>
      <c r="X82" s="65" t="e">
        <f aca="false">X31</f>
        <v>#VALUE!</v>
      </c>
      <c r="Y82" s="65" t="e">
        <f aca="false">Y31</f>
        <v>#VALUE!</v>
      </c>
      <c r="Z82" s="65" t="e">
        <f aca="false">Z31</f>
        <v>#VALUE!</v>
      </c>
      <c r="AA82" s="65" t="e">
        <f aca="false">AA31</f>
        <v>#VALUE!</v>
      </c>
      <c r="AB82" s="65" t="e">
        <f aca="false">AB31</f>
        <v>#VALUE!</v>
      </c>
      <c r="AC82" s="65" t="e">
        <f aca="false">AC31</f>
        <v>#VALUE!</v>
      </c>
      <c r="AD82" s="65" t="e">
        <f aca="false">AD31</f>
        <v>#VALUE!</v>
      </c>
      <c r="AE82" s="65" t="e">
        <f aca="false">AE31</f>
        <v>#VALUE!</v>
      </c>
      <c r="AF82" s="65" t="e">
        <f aca="false">AF31</f>
        <v>#VALUE!</v>
      </c>
      <c r="AG82" s="65" t="e">
        <f aca="false">AG31</f>
        <v>#VALUE!</v>
      </c>
      <c r="AH82" s="65" t="e">
        <f aca="false">AH31</f>
        <v>#VALUE!</v>
      </c>
      <c r="AI82" s="65" t="e">
        <f aca="false">AI31</f>
        <v>#VALUE!</v>
      </c>
      <c r="AJ82" s="65" t="e">
        <f aca="false">AJ31</f>
        <v>#VALUE!</v>
      </c>
      <c r="AK82" s="65" t="e">
        <f aca="false">AK31</f>
        <v>#VALUE!</v>
      </c>
      <c r="AL82" s="65" t="e">
        <f aca="false">AL31</f>
        <v>#VALUE!</v>
      </c>
    </row>
    <row r="83" customFormat="false" ht="15" hidden="false" customHeight="false" outlineLevel="0" collapsed="false">
      <c r="C83" s="0" t="s">
        <v>248</v>
      </c>
      <c r="E83" s="104" t="s">
        <v>72</v>
      </c>
      <c r="G83" s="65" t="e">
        <f aca="false">SUM(I83:AL83)</f>
        <v>#VALUE!</v>
      </c>
      <c r="H83" s="0"/>
      <c r="I83" s="65" t="e">
        <f aca="false">-SUM(Funding!I227:I228)</f>
        <v>#VALUE!</v>
      </c>
      <c r="J83" s="65" t="e">
        <f aca="false">-SUM(Funding!J227:J228)</f>
        <v>#VALUE!</v>
      </c>
      <c r="K83" s="65" t="e">
        <f aca="false">-SUM(Funding!K227:K228)</f>
        <v>#VALUE!</v>
      </c>
      <c r="L83" s="65" t="e">
        <f aca="false">-SUM(Funding!L227:L228)</f>
        <v>#VALUE!</v>
      </c>
      <c r="M83" s="65" t="e">
        <f aca="false">-SUM(Funding!M227:M228)</f>
        <v>#VALUE!</v>
      </c>
      <c r="N83" s="65" t="e">
        <f aca="false">-SUM(Funding!N227:N228)</f>
        <v>#VALUE!</v>
      </c>
      <c r="O83" s="65" t="e">
        <f aca="false">-SUM(Funding!O227:O228)</f>
        <v>#VALUE!</v>
      </c>
      <c r="P83" s="65" t="e">
        <f aca="false">-SUM(Funding!P227:P228)</f>
        <v>#VALUE!</v>
      </c>
      <c r="Q83" s="65" t="e">
        <f aca="false">-SUM(Funding!Q227:Q228)</f>
        <v>#VALUE!</v>
      </c>
      <c r="R83" s="65" t="e">
        <f aca="false">-SUM(Funding!R227:R228)</f>
        <v>#VALUE!</v>
      </c>
      <c r="S83" s="65" t="e">
        <f aca="false">-SUM(Funding!S227:S228)</f>
        <v>#VALUE!</v>
      </c>
      <c r="T83" s="65" t="e">
        <f aca="false">-SUM(Funding!T227:T228)</f>
        <v>#VALUE!</v>
      </c>
      <c r="U83" s="65" t="e">
        <f aca="false">-SUM(Funding!U227:U228)</f>
        <v>#VALUE!</v>
      </c>
      <c r="V83" s="65" t="e">
        <f aca="false">-SUM(Funding!V227:V228)</f>
        <v>#VALUE!</v>
      </c>
      <c r="W83" s="65" t="e">
        <f aca="false">-SUM(Funding!W227:W228)</f>
        <v>#VALUE!</v>
      </c>
      <c r="X83" s="65" t="e">
        <f aca="false">-SUM(Funding!X227:X228)</f>
        <v>#VALUE!</v>
      </c>
      <c r="Y83" s="65" t="e">
        <f aca="false">-SUM(Funding!Y227:Y228)</f>
        <v>#VALUE!</v>
      </c>
      <c r="Z83" s="65" t="e">
        <f aca="false">-SUM(Funding!Z227:Z228)</f>
        <v>#VALUE!</v>
      </c>
      <c r="AA83" s="65" t="e">
        <f aca="false">-SUM(Funding!AA227:AA228)</f>
        <v>#VALUE!</v>
      </c>
      <c r="AB83" s="65" t="e">
        <f aca="false">-SUM(Funding!AB227:AB228)</f>
        <v>#VALUE!</v>
      </c>
      <c r="AC83" s="65" t="e">
        <f aca="false">-SUM(Funding!AC227:AC228)</f>
        <v>#VALUE!</v>
      </c>
      <c r="AD83" s="65" t="e">
        <f aca="false">-SUM(Funding!AD227:AD228)</f>
        <v>#VALUE!</v>
      </c>
      <c r="AE83" s="65" t="e">
        <f aca="false">-SUM(Funding!AE227:AE228)</f>
        <v>#VALUE!</v>
      </c>
      <c r="AF83" s="65" t="e">
        <f aca="false">-SUM(Funding!AF227:AF228)</f>
        <v>#VALUE!</v>
      </c>
      <c r="AG83" s="65" t="e">
        <f aca="false">-SUM(Funding!AG227:AG228)</f>
        <v>#VALUE!</v>
      </c>
      <c r="AH83" s="65" t="e">
        <f aca="false">-SUM(Funding!AH227:AH228)</f>
        <v>#VALUE!</v>
      </c>
      <c r="AI83" s="65" t="e">
        <f aca="false">-SUM(Funding!AI227:AI228)</f>
        <v>#VALUE!</v>
      </c>
      <c r="AJ83" s="65" t="e">
        <f aca="false">-SUM(Funding!AJ227:AJ228)</f>
        <v>#VALUE!</v>
      </c>
      <c r="AK83" s="65" t="e">
        <f aca="false">-SUM(Funding!AK227:AK228)</f>
        <v>#VALUE!</v>
      </c>
      <c r="AL83" s="65" t="e">
        <f aca="false">-SUM(Funding!AL227:AL228)</f>
        <v>#VALUE!</v>
      </c>
    </row>
    <row r="84" customFormat="false" ht="15" hidden="false" customHeight="false" outlineLevel="0" collapsed="false">
      <c r="C84" s="0" t="s">
        <v>249</v>
      </c>
      <c r="E84" s="104" t="s">
        <v>72</v>
      </c>
      <c r="G84" s="65" t="n">
        <f aca="false">SUM(I84:AL84)</f>
        <v>344238.443157287</v>
      </c>
      <c r="H84" s="0"/>
      <c r="I84" s="65" t="n">
        <f aca="false">-SUM(Funding!I234:I235)</f>
        <v>0</v>
      </c>
      <c r="J84" s="65" t="n">
        <f aca="false">-SUM(Funding!J234:J235)</f>
        <v>0</v>
      </c>
      <c r="K84" s="65" t="n">
        <f aca="false">-SUM(Funding!K234:K235)</f>
        <v>1721.19221578643</v>
      </c>
      <c r="L84" s="65" t="n">
        <f aca="false">-SUM(Funding!L234:L235)</f>
        <v>1712.58625470748</v>
      </c>
      <c r="M84" s="65" t="n">
        <f aca="false">-SUM(Funding!M234:M235)</f>
        <v>1704.02332343394</v>
      </c>
      <c r="N84" s="65" t="n">
        <f aca="false">-SUM(Funding!N234:N235)</f>
        <v>1695.50320681685</v>
      </c>
      <c r="O84" s="65" t="n">
        <f aca="false">-SUM(Funding!O234:O235)</f>
        <v>1687.0256907827</v>
      </c>
      <c r="P84" s="65" t="n">
        <f aca="false">-SUM(Funding!P234:P235)</f>
        <v>1678.59056232875</v>
      </c>
      <c r="Q84" s="65" t="n">
        <f aca="false">-SUM(Funding!Q234:Q235)</f>
        <v>1670.19760951714</v>
      </c>
      <c r="R84" s="65" t="n">
        <f aca="false">-SUM(Funding!R234:R235)</f>
        <v>1661.84662146954</v>
      </c>
      <c r="S84" s="65" t="n">
        <f aca="false">-SUM(Funding!S234:S235)</f>
        <v>1653.53738836228</v>
      </c>
      <c r="T84" s="65" t="n">
        <f aca="false">-SUM(Funding!T234:T235)</f>
        <v>1645.26970142039</v>
      </c>
      <c r="U84" s="65" t="n">
        <f aca="false">-SUM(Funding!U234:U235)</f>
        <v>1637.04335291334</v>
      </c>
      <c r="V84" s="65" t="n">
        <f aca="false">-SUM(Funding!V234:V235)</f>
        <v>1628.85813614866</v>
      </c>
      <c r="W84" s="65" t="n">
        <f aca="false">-SUM(Funding!W234:W235)</f>
        <v>1620.71384546801</v>
      </c>
      <c r="X84" s="65" t="n">
        <f aca="false">-SUM(Funding!X234:X235)</f>
        <v>1612.61027624062</v>
      </c>
      <c r="Y84" s="65" t="n">
        <f aca="false">-SUM(Funding!Y234:Y235)</f>
        <v>1604.54722485947</v>
      </c>
      <c r="Z84" s="65" t="n">
        <f aca="false">-SUM(Funding!Z234:Z235)</f>
        <v>1596.52448873519</v>
      </c>
      <c r="AA84" s="65" t="n">
        <f aca="false">-SUM(Funding!AA234:AA235)</f>
        <v>1588.54186629149</v>
      </c>
      <c r="AB84" s="65" t="n">
        <f aca="false">-SUM(Funding!AB234:AB235)</f>
        <v>1580.59915695997</v>
      </c>
      <c r="AC84" s="65" t="n">
        <f aca="false">-SUM(Funding!AC234:AC235)</f>
        <v>314539.232235044</v>
      </c>
      <c r="AD84" s="65" t="n">
        <f aca="false">-SUM(Funding!AD234:AD235)</f>
        <v>0</v>
      </c>
      <c r="AE84" s="65" t="n">
        <f aca="false">-SUM(Funding!AE234:AE235)</f>
        <v>0</v>
      </c>
      <c r="AF84" s="65" t="n">
        <f aca="false">-SUM(Funding!AF234:AF235)</f>
        <v>0</v>
      </c>
      <c r="AG84" s="65" t="n">
        <f aca="false">-SUM(Funding!AG234:AG235)</f>
        <v>0</v>
      </c>
      <c r="AH84" s="65" t="n">
        <f aca="false">-SUM(Funding!AH234:AH235)</f>
        <v>0</v>
      </c>
      <c r="AI84" s="65" t="n">
        <f aca="false">-SUM(Funding!AI234:AI235)</f>
        <v>0</v>
      </c>
      <c r="AJ84" s="65" t="n">
        <f aca="false">-SUM(Funding!AJ234:AJ235)</f>
        <v>0</v>
      </c>
      <c r="AK84" s="65" t="n">
        <f aca="false">-SUM(Funding!AK234:AK235)</f>
        <v>0</v>
      </c>
      <c r="AL84" s="65" t="n">
        <f aca="false">-SUM(Funding!AL234:AL235)</f>
        <v>0</v>
      </c>
    </row>
    <row r="85" customFormat="false" ht="15" hidden="false" customHeight="false" outlineLevel="0" collapsed="false">
      <c r="C85" s="117" t="s">
        <v>250</v>
      </c>
      <c r="D85" s="117"/>
      <c r="E85" s="118" t="s">
        <v>72</v>
      </c>
      <c r="F85" s="117"/>
      <c r="G85" s="123"/>
      <c r="H85" s="119"/>
      <c r="I85" s="124" t="e">
        <f aca="false">SUM(I78:I84)</f>
        <v>#VALUE!</v>
      </c>
      <c r="J85" s="124" t="e">
        <f aca="false">SUM(J78:J84)</f>
        <v>#VALUE!</v>
      </c>
      <c r="K85" s="124" t="e">
        <f aca="false">SUM(K78:K84)</f>
        <v>#VALUE!</v>
      </c>
      <c r="L85" s="124" t="e">
        <f aca="false">SUM(L78:L84)</f>
        <v>#VALUE!</v>
      </c>
      <c r="M85" s="124" t="e">
        <f aca="false">SUM(M78:M84)</f>
        <v>#VALUE!</v>
      </c>
      <c r="N85" s="124" t="e">
        <f aca="false">SUM(N78:N84)</f>
        <v>#VALUE!</v>
      </c>
      <c r="O85" s="124" t="e">
        <f aca="false">SUM(O78:O84)</f>
        <v>#VALUE!</v>
      </c>
      <c r="P85" s="124" t="e">
        <f aca="false">SUM(P78:P84)</f>
        <v>#VALUE!</v>
      </c>
      <c r="Q85" s="124" t="e">
        <f aca="false">SUM(Q78:Q84)</f>
        <v>#VALUE!</v>
      </c>
      <c r="R85" s="124" t="e">
        <f aca="false">SUM(R78:R84)</f>
        <v>#VALUE!</v>
      </c>
      <c r="S85" s="124" t="e">
        <f aca="false">SUM(S78:S84)</f>
        <v>#VALUE!</v>
      </c>
      <c r="T85" s="124" t="e">
        <f aca="false">SUM(T78:T84)</f>
        <v>#VALUE!</v>
      </c>
      <c r="U85" s="124" t="e">
        <f aca="false">SUM(U78:U84)</f>
        <v>#VALUE!</v>
      </c>
      <c r="V85" s="124" t="e">
        <f aca="false">SUM(V78:V84)</f>
        <v>#VALUE!</v>
      </c>
      <c r="W85" s="124" t="e">
        <f aca="false">SUM(W78:W84)</f>
        <v>#VALUE!</v>
      </c>
      <c r="X85" s="124" t="e">
        <f aca="false">SUM(X78:X84)</f>
        <v>#VALUE!</v>
      </c>
      <c r="Y85" s="124" t="e">
        <f aca="false">SUM(Y78:Y84)</f>
        <v>#VALUE!</v>
      </c>
      <c r="Z85" s="124" t="e">
        <f aca="false">SUM(Z78:Z84)</f>
        <v>#VALUE!</v>
      </c>
      <c r="AA85" s="124" t="e">
        <f aca="false">SUM(AA78:AA84)</f>
        <v>#VALUE!</v>
      </c>
      <c r="AB85" s="124" t="e">
        <f aca="false">SUM(AB78:AB84)</f>
        <v>#VALUE!</v>
      </c>
      <c r="AC85" s="124" t="e">
        <f aca="false">SUM(AC78:AC84)</f>
        <v>#VALUE!</v>
      </c>
      <c r="AD85" s="124" t="e">
        <f aca="false">SUM(AD78:AD84)</f>
        <v>#VALUE!</v>
      </c>
      <c r="AE85" s="124" t="e">
        <f aca="false">SUM(AE78:AE84)</f>
        <v>#VALUE!</v>
      </c>
      <c r="AF85" s="124" t="e">
        <f aca="false">SUM(AF78:AF84)</f>
        <v>#VALUE!</v>
      </c>
      <c r="AG85" s="124" t="e">
        <f aca="false">SUM(AG78:AG84)</f>
        <v>#VALUE!</v>
      </c>
      <c r="AH85" s="124" t="e">
        <f aca="false">SUM(AH78:AH84)</f>
        <v>#VALUE!</v>
      </c>
      <c r="AI85" s="124" t="e">
        <f aca="false">SUM(AI78:AI84)</f>
        <v>#VALUE!</v>
      </c>
      <c r="AJ85" s="124" t="e">
        <f aca="false">SUM(AJ78:AJ84)</f>
        <v>#VALUE!</v>
      </c>
      <c r="AK85" s="124" t="e">
        <f aca="false">SUM(AK78:AK84)</f>
        <v>#VALUE!</v>
      </c>
      <c r="AL85" s="124" t="e">
        <f aca="false">SUM(AL78:AL84)</f>
        <v>#VALUE!</v>
      </c>
    </row>
    <row r="87" customFormat="false" ht="15" hidden="false" customHeight="false" outlineLevel="0" collapsed="false">
      <c r="C87" s="0" t="s">
        <v>137</v>
      </c>
      <c r="E87" s="0"/>
      <c r="H87" s="0"/>
      <c r="I87" s="111" t="n">
        <f aca="false">IFERROR(-(I8&lt;=Bank_Tenor)*I78/SUM(I80:I81),0)</f>
        <v>0</v>
      </c>
      <c r="J87" s="111" t="n">
        <f aca="false">IFERROR(-(J8&lt;=Bank_Tenor)*J78/SUM(J80:J81),0)</f>
        <v>0</v>
      </c>
      <c r="K87" s="111" t="n">
        <f aca="false">IFERROR(-(K8&lt;=Bank_Tenor)*K78/SUM(K80:K81),0)</f>
        <v>0</v>
      </c>
      <c r="L87" s="111" t="n">
        <f aca="false">IFERROR(-(L8&lt;=Bank_Tenor)*L78/SUM(L80:L81),0)</f>
        <v>0</v>
      </c>
      <c r="M87" s="111" t="n">
        <f aca="false">IFERROR(-(M8&lt;=Bank_Tenor)*M78/SUM(M80:M81),0)</f>
        <v>0</v>
      </c>
      <c r="N87" s="111" t="n">
        <f aca="false">IFERROR(-(N8&lt;=Bank_Tenor)*N78/SUM(N80:N81),0)</f>
        <v>0</v>
      </c>
      <c r="O87" s="111" t="n">
        <f aca="false">IFERROR(-(O8&lt;=Bank_Tenor)*O78/SUM(O80:O81),0)</f>
        <v>0</v>
      </c>
      <c r="P87" s="111" t="n">
        <f aca="false">IFERROR(-(P8&lt;=Bank_Tenor)*P78/SUM(P80:P81),0)</f>
        <v>0</v>
      </c>
      <c r="Q87" s="111" t="n">
        <f aca="false">IFERROR(-(Q8&lt;=Bank_Tenor)*Q78/SUM(Q80:Q81),0)</f>
        <v>0</v>
      </c>
      <c r="R87" s="111" t="n">
        <f aca="false">IFERROR(-(R8&lt;=Bank_Tenor)*R78/SUM(R80:R81),0)</f>
        <v>0</v>
      </c>
      <c r="S87" s="111" t="n">
        <f aca="false">IFERROR(-(S8&lt;=Bank_Tenor)*S78/SUM(S80:S81),0)</f>
        <v>0</v>
      </c>
      <c r="T87" s="111" t="n">
        <f aca="false">IFERROR(-(T8&lt;=Bank_Tenor)*T78/SUM(T80:T81),0)</f>
        <v>0</v>
      </c>
      <c r="U87" s="111" t="n">
        <f aca="false">IFERROR(-(U8&lt;=Bank_Tenor)*U78/SUM(U80:U81),0)</f>
        <v>0</v>
      </c>
      <c r="V87" s="111" t="n">
        <f aca="false">IFERROR(-(V8&lt;=Bank_Tenor)*V78/SUM(V80:V81),0)</f>
        <v>0</v>
      </c>
      <c r="W87" s="111" t="n">
        <f aca="false">IFERROR(-(W8&lt;=Bank_Tenor)*W78/SUM(W80:W81),0)</f>
        <v>0</v>
      </c>
      <c r="X87" s="111" t="n">
        <f aca="false">IFERROR(-(X8&lt;=Bank_Tenor)*X78/SUM(X80:X81),0)</f>
        <v>0</v>
      </c>
      <c r="Y87" s="111" t="n">
        <f aca="false">IFERROR(-(Y8&lt;=Bank_Tenor)*Y78/SUM(Y80:Y81),0)</f>
        <v>0</v>
      </c>
      <c r="Z87" s="111" t="n">
        <f aca="false">IFERROR(-(Z8&lt;=Bank_Tenor)*Z78/SUM(Z80:Z81),0)</f>
        <v>0</v>
      </c>
      <c r="AA87" s="111" t="n">
        <f aca="false">IFERROR(-(AA8&lt;=Bank_Tenor)*AA78/SUM(AA80:AA81),0)</f>
        <v>0</v>
      </c>
      <c r="AB87" s="111" t="n">
        <f aca="false">IFERROR(-(AB8&lt;=Bank_Tenor)*AB78/SUM(AB80:AB81),0)</f>
        <v>0</v>
      </c>
      <c r="AC87" s="111" t="n">
        <f aca="false">IFERROR(-(AC8&lt;=Bank_Tenor)*AC78/SUM(AC80:AC81),0)</f>
        <v>0</v>
      </c>
      <c r="AD87" s="111" t="n">
        <f aca="false">IFERROR(-(AD8&lt;=Bank_Tenor)*AD78/SUM(AD80:AD81),0)</f>
        <v>0</v>
      </c>
      <c r="AE87" s="111" t="n">
        <f aca="false">IFERROR(-(AE8&lt;=Bank_Tenor)*AE78/SUM(AE80:AE81),0)</f>
        <v>0</v>
      </c>
      <c r="AF87" s="111" t="n">
        <f aca="false">IFERROR(-(AF8&lt;=Bank_Tenor)*AF78/SUM(AF80:AF81),0)</f>
        <v>0</v>
      </c>
      <c r="AG87" s="111" t="n">
        <f aca="false">IFERROR(-(AG8&lt;=Bank_Tenor)*AG78/SUM(AG80:AG81),0)</f>
        <v>0</v>
      </c>
      <c r="AH87" s="111" t="n">
        <f aca="false">IFERROR(-(AH8&lt;=Bank_Tenor)*AH78/SUM(AH80:AH81),0)</f>
        <v>0</v>
      </c>
      <c r="AI87" s="111" t="n">
        <f aca="false">IFERROR(-(AI8&lt;=Bank_Tenor)*AI78/SUM(AI80:AI81),0)</f>
        <v>0</v>
      </c>
      <c r="AJ87" s="111" t="n">
        <f aca="false">IFERROR(-(AJ8&lt;=Bank_Tenor)*AJ78/SUM(AJ80:AJ81),0)</f>
        <v>0</v>
      </c>
      <c r="AK87" s="111" t="n">
        <f aca="false">IFERROR(-(AK8&lt;=Bank_Tenor)*AK78/SUM(AK80:AK81),0)</f>
        <v>0</v>
      </c>
      <c r="AL87" s="111" t="n">
        <f aca="false">IFERROR(-(AL8&lt;=Bank_Tenor)*AL78/SUM(AL80:AL81),0)</f>
        <v>0</v>
      </c>
    </row>
    <row r="88" customFormat="false" ht="15" hidden="false" customHeight="false" outlineLevel="0" collapsed="false">
      <c r="C88" s="0" t="s">
        <v>251</v>
      </c>
      <c r="E88" s="0"/>
      <c r="H88" s="0"/>
      <c r="I88" s="111" t="n">
        <f aca="false">IF(AND(I8&gt;0,I8&lt;=Bank_Tenor),1*(I87&gt;=DSCR),1)</f>
        <v>1</v>
      </c>
      <c r="J88" s="111" t="n">
        <f aca="false">IF(AND(J8&gt;0,J8&lt;=Bank_Tenor),1*(J87&gt;=DSCR),1)</f>
        <v>0</v>
      </c>
      <c r="K88" s="111" t="n">
        <f aca="false">IF(AND(K8&gt;0,K8&lt;=Bank_Tenor),1*(K87&gt;=DSCR),1)</f>
        <v>0</v>
      </c>
      <c r="L88" s="111" t="n">
        <f aca="false">IF(AND(L8&gt;0,L8&lt;=Bank_Tenor),1*(L87&gt;=DSCR),1)</f>
        <v>0</v>
      </c>
      <c r="M88" s="111" t="n">
        <f aca="false">IF(AND(M8&gt;0,M8&lt;=Bank_Tenor),1*(M87&gt;=DSCR),1)</f>
        <v>0</v>
      </c>
      <c r="N88" s="111" t="n">
        <f aca="false">IF(AND(N8&gt;0,N8&lt;=Bank_Tenor),1*(N87&gt;=DSCR),1)</f>
        <v>0</v>
      </c>
      <c r="O88" s="111" t="n">
        <f aca="false">IF(AND(O8&gt;0,O8&lt;=Bank_Tenor),1*(O87&gt;=DSCR),1)</f>
        <v>0</v>
      </c>
      <c r="P88" s="111" t="n">
        <f aca="false">IF(AND(P8&gt;0,P8&lt;=Bank_Tenor),1*(P87&gt;=DSCR),1)</f>
        <v>0</v>
      </c>
      <c r="Q88" s="111" t="n">
        <f aca="false">IF(AND(Q8&gt;0,Q8&lt;=Bank_Tenor),1*(Q87&gt;=DSCR),1)</f>
        <v>0</v>
      </c>
      <c r="R88" s="111" t="n">
        <f aca="false">IF(AND(R8&gt;0,R8&lt;=Bank_Tenor),1*(R87&gt;=DSCR),1)</f>
        <v>0</v>
      </c>
      <c r="S88" s="111" t="n">
        <f aca="false">IF(AND(S8&gt;0,S8&lt;=Bank_Tenor),1*(S87&gt;=DSCR),1)</f>
        <v>0</v>
      </c>
      <c r="T88" s="111" t="n">
        <f aca="false">IF(AND(T8&gt;0,T8&lt;=Bank_Tenor),1*(T87&gt;=DSCR),1)</f>
        <v>0</v>
      </c>
      <c r="U88" s="111" t="n">
        <f aca="false">IF(AND(U8&gt;0,U8&lt;=Bank_Tenor),1*(U87&gt;=DSCR),1)</f>
        <v>0</v>
      </c>
      <c r="V88" s="111" t="n">
        <f aca="false">IF(AND(V8&gt;0,V8&lt;=Bank_Tenor),1*(V87&gt;=DSCR),1)</f>
        <v>1</v>
      </c>
      <c r="W88" s="111" t="n">
        <f aca="false">IF(AND(W8&gt;0,W8&lt;=Bank_Tenor),1*(W87&gt;=DSCR),1)</f>
        <v>1</v>
      </c>
      <c r="X88" s="111" t="n">
        <f aca="false">IF(AND(X8&gt;0,X8&lt;=Bank_Tenor),1*(X87&gt;=DSCR),1)</f>
        <v>1</v>
      </c>
      <c r="Y88" s="111" t="n">
        <f aca="false">IF(AND(Y8&gt;0,Y8&lt;=Bank_Tenor),1*(Y87&gt;=DSCR),1)</f>
        <v>1</v>
      </c>
      <c r="Z88" s="111" t="n">
        <f aca="false">IF(AND(Z8&gt;0,Z8&lt;=Bank_Tenor),1*(Z87&gt;=DSCR),1)</f>
        <v>1</v>
      </c>
      <c r="AA88" s="111" t="n">
        <f aca="false">IF(AND(AA8&gt;0,AA8&lt;=Bank_Tenor),1*(AA87&gt;=DSCR),1)</f>
        <v>1</v>
      </c>
      <c r="AB88" s="111" t="n">
        <f aca="false">IF(AND(AB8&gt;0,AB8&lt;=Bank_Tenor),1*(AB87&gt;=DSCR),1)</f>
        <v>1</v>
      </c>
      <c r="AC88" s="111" t="n">
        <f aca="false">IF(AND(AC8&gt;0,AC8&lt;=Bank_Tenor),1*(AC87&gt;=DSCR),1)</f>
        <v>1</v>
      </c>
      <c r="AD88" s="111" t="n">
        <f aca="false">IF(AND(AD8&gt;0,AD8&lt;=Bank_Tenor),1*(AD87&gt;=DSCR),1)</f>
        <v>1</v>
      </c>
      <c r="AE88" s="111" t="n">
        <f aca="false">IF(AND(AE8&gt;0,AE8&lt;=Bank_Tenor),1*(AE87&gt;=DSCR),1)</f>
        <v>1</v>
      </c>
      <c r="AF88" s="111" t="n">
        <f aca="false">IF(AND(AF8&gt;0,AF8&lt;=Bank_Tenor),1*(AF87&gt;=DSCR),1)</f>
        <v>1</v>
      </c>
      <c r="AG88" s="111" t="n">
        <f aca="false">IF(AND(AG8&gt;0,AG8&lt;=Bank_Tenor),1*(AG87&gt;=DSCR),1)</f>
        <v>1</v>
      </c>
      <c r="AH88" s="111" t="n">
        <f aca="false">IF(AND(AH8&gt;0,AH8&lt;=Bank_Tenor),1*(AH87&gt;=DSCR),1)</f>
        <v>1</v>
      </c>
      <c r="AI88" s="111" t="n">
        <f aca="false">IF(AND(AI8&gt;0,AI8&lt;=Bank_Tenor),1*(AI87&gt;=DSCR),1)</f>
        <v>1</v>
      </c>
      <c r="AJ88" s="111" t="n">
        <f aca="false">IF(AND(AJ8&gt;0,AJ8&lt;=Bank_Tenor),1*(AJ87&gt;=DSCR),1)</f>
        <v>1</v>
      </c>
      <c r="AK88" s="111" t="n">
        <f aca="false">IF(AND(AK8&gt;0,AK8&lt;=Bank_Tenor),1*(AK87&gt;=DSCR),1)</f>
        <v>1</v>
      </c>
      <c r="AL88" s="111" t="n">
        <f aca="false">IF(AND(AL8&gt;0,AL8&lt;=Bank_Tenor),1*(AL87&gt;=DSCR),1)</f>
        <v>1</v>
      </c>
    </row>
    <row r="90" customFormat="false" ht="15" hidden="false" customHeight="false" outlineLevel="0" collapsed="false">
      <c r="B90" s="2" t="n">
        <f aca="false">(MAX($A$7:B89)+0.1)</f>
        <v>2.4</v>
      </c>
      <c r="C90" s="2" t="s">
        <v>252</v>
      </c>
      <c r="E90" s="0"/>
      <c r="H90" s="0"/>
    </row>
    <row r="91" customFormat="false" ht="15" hidden="false" customHeight="false" outlineLevel="0" collapsed="false">
      <c r="C91" s="0" t="str">
        <f aca="false">C85</f>
        <v>Cash available for junior debt service</v>
      </c>
      <c r="E91" s="104" t="s">
        <v>72</v>
      </c>
      <c r="G91" s="65" t="e">
        <f aca="false">SUM(I91:AL91)</f>
        <v>#VALUE!</v>
      </c>
      <c r="H91" s="0"/>
      <c r="I91" s="65" t="e">
        <f aca="false">I85</f>
        <v>#VALUE!</v>
      </c>
      <c r="J91" s="65" t="e">
        <f aca="false">J85</f>
        <v>#VALUE!</v>
      </c>
      <c r="K91" s="65" t="e">
        <f aca="false">K85</f>
        <v>#VALUE!</v>
      </c>
      <c r="L91" s="65" t="e">
        <f aca="false">L85</f>
        <v>#VALUE!</v>
      </c>
      <c r="M91" s="65" t="e">
        <f aca="false">M85</f>
        <v>#VALUE!</v>
      </c>
      <c r="N91" s="65" t="e">
        <f aca="false">N85</f>
        <v>#VALUE!</v>
      </c>
      <c r="O91" s="65" t="e">
        <f aca="false">O85</f>
        <v>#VALUE!</v>
      </c>
      <c r="P91" s="65" t="e">
        <f aca="false">P85</f>
        <v>#VALUE!</v>
      </c>
      <c r="Q91" s="65" t="e">
        <f aca="false">Q85</f>
        <v>#VALUE!</v>
      </c>
      <c r="R91" s="65" t="e">
        <f aca="false">R85</f>
        <v>#VALUE!</v>
      </c>
      <c r="S91" s="65" t="e">
        <f aca="false">S85</f>
        <v>#VALUE!</v>
      </c>
      <c r="T91" s="65" t="e">
        <f aca="false">T85</f>
        <v>#VALUE!</v>
      </c>
      <c r="U91" s="65" t="e">
        <f aca="false">U85</f>
        <v>#VALUE!</v>
      </c>
      <c r="V91" s="65" t="e">
        <f aca="false">V85</f>
        <v>#VALUE!</v>
      </c>
      <c r="W91" s="65" t="e">
        <f aca="false">W85</f>
        <v>#VALUE!</v>
      </c>
      <c r="X91" s="65" t="e">
        <f aca="false">X85</f>
        <v>#VALUE!</v>
      </c>
      <c r="Y91" s="65" t="e">
        <f aca="false">Y85</f>
        <v>#VALUE!</v>
      </c>
      <c r="Z91" s="65" t="e">
        <f aca="false">Z85</f>
        <v>#VALUE!</v>
      </c>
      <c r="AA91" s="65" t="e">
        <f aca="false">AA85</f>
        <v>#VALUE!</v>
      </c>
      <c r="AB91" s="65" t="e">
        <f aca="false">AB85</f>
        <v>#VALUE!</v>
      </c>
      <c r="AC91" s="65" t="e">
        <f aca="false">AC85</f>
        <v>#VALUE!</v>
      </c>
      <c r="AD91" s="65" t="e">
        <f aca="false">AD85</f>
        <v>#VALUE!</v>
      </c>
      <c r="AE91" s="65" t="e">
        <f aca="false">AE85</f>
        <v>#VALUE!</v>
      </c>
      <c r="AF91" s="65" t="e">
        <f aca="false">AF85</f>
        <v>#VALUE!</v>
      </c>
      <c r="AG91" s="65" t="e">
        <f aca="false">AG85</f>
        <v>#VALUE!</v>
      </c>
      <c r="AH91" s="65" t="e">
        <f aca="false">AH85</f>
        <v>#VALUE!</v>
      </c>
      <c r="AI91" s="65" t="e">
        <f aca="false">AI85</f>
        <v>#VALUE!</v>
      </c>
      <c r="AJ91" s="65" t="e">
        <f aca="false">AJ85</f>
        <v>#VALUE!</v>
      </c>
      <c r="AK91" s="65" t="e">
        <f aca="false">AK85</f>
        <v>#VALUE!</v>
      </c>
      <c r="AL91" s="65" t="e">
        <f aca="false">AL85</f>
        <v>#VALUE!</v>
      </c>
    </row>
    <row r="92" customFormat="false" ht="15" hidden="false" customHeight="false" outlineLevel="0" collapsed="false">
      <c r="C92" s="0" t="s">
        <v>253</v>
      </c>
      <c r="E92" s="104" t="s">
        <v>72</v>
      </c>
      <c r="G92" s="65" t="e">
        <f aca="false">SUM(I92:AL92)</f>
        <v>#VALUE!</v>
      </c>
      <c r="H92" s="0"/>
      <c r="I92" s="65" t="n">
        <f aca="false">Funding!I131</f>
        <v>0</v>
      </c>
      <c r="J92" s="65" t="e">
        <f aca="false">Funding!J131</f>
        <v>#VALUE!</v>
      </c>
      <c r="K92" s="65" t="e">
        <f aca="false">Funding!K131</f>
        <v>#VALUE!</v>
      </c>
      <c r="L92" s="65" t="e">
        <f aca="false">Funding!L131</f>
        <v>#VALUE!</v>
      </c>
      <c r="M92" s="65" t="e">
        <f aca="false">Funding!M131</f>
        <v>#VALUE!</v>
      </c>
      <c r="N92" s="65" t="e">
        <f aca="false">Funding!N131</f>
        <v>#VALUE!</v>
      </c>
      <c r="O92" s="65" t="e">
        <f aca="false">Funding!O131</f>
        <v>#VALUE!</v>
      </c>
      <c r="P92" s="65" t="e">
        <f aca="false">Funding!P131</f>
        <v>#VALUE!</v>
      </c>
      <c r="Q92" s="65" t="e">
        <f aca="false">Funding!Q131</f>
        <v>#VALUE!</v>
      </c>
      <c r="R92" s="65" t="e">
        <f aca="false">Funding!R131</f>
        <v>#VALUE!</v>
      </c>
      <c r="S92" s="65" t="e">
        <f aca="false">Funding!S131</f>
        <v>#VALUE!</v>
      </c>
      <c r="T92" s="65" t="e">
        <f aca="false">Funding!T131</f>
        <v>#VALUE!</v>
      </c>
      <c r="U92" s="65" t="e">
        <f aca="false">Funding!U131</f>
        <v>#VALUE!</v>
      </c>
      <c r="V92" s="65" t="e">
        <f aca="false">Funding!V131</f>
        <v>#VALUE!</v>
      </c>
      <c r="W92" s="65" t="e">
        <f aca="false">Funding!W131</f>
        <v>#VALUE!</v>
      </c>
      <c r="X92" s="65" t="e">
        <f aca="false">Funding!X131</f>
        <v>#VALUE!</v>
      </c>
      <c r="Y92" s="65" t="e">
        <f aca="false">Funding!Y131</f>
        <v>#VALUE!</v>
      </c>
      <c r="Z92" s="65" t="e">
        <f aca="false">Funding!Z131</f>
        <v>#VALUE!</v>
      </c>
      <c r="AA92" s="65" t="e">
        <f aca="false">Funding!AA131</f>
        <v>#VALUE!</v>
      </c>
      <c r="AB92" s="65" t="e">
        <f aca="false">Funding!AB131</f>
        <v>#VALUE!</v>
      </c>
      <c r="AC92" s="65" t="e">
        <f aca="false">Funding!AC131</f>
        <v>#VALUE!</v>
      </c>
      <c r="AD92" s="65" t="e">
        <f aca="false">Funding!AD131</f>
        <v>#VALUE!</v>
      </c>
      <c r="AE92" s="65" t="e">
        <f aca="false">Funding!AE131</f>
        <v>#VALUE!</v>
      </c>
      <c r="AF92" s="65" t="e">
        <f aca="false">Funding!AF131</f>
        <v>#VALUE!</v>
      </c>
      <c r="AG92" s="65" t="e">
        <f aca="false">Funding!AG131</f>
        <v>#VALUE!</v>
      </c>
      <c r="AH92" s="65" t="e">
        <f aca="false">Funding!AH131</f>
        <v>#VALUE!</v>
      </c>
      <c r="AI92" s="65" t="e">
        <f aca="false">Funding!AI131</f>
        <v>#VALUE!</v>
      </c>
      <c r="AJ92" s="65" t="e">
        <f aca="false">Funding!AJ131</f>
        <v>#VALUE!</v>
      </c>
      <c r="AK92" s="65" t="e">
        <f aca="false">Funding!AK131</f>
        <v>#VALUE!</v>
      </c>
      <c r="AL92" s="65" t="e">
        <f aca="false">Funding!AL131</f>
        <v>#VALUE!</v>
      </c>
    </row>
    <row r="93" customFormat="false" ht="15" hidden="false" customHeight="false" outlineLevel="0" collapsed="false">
      <c r="C93" s="0" t="s">
        <v>254</v>
      </c>
      <c r="E93" s="104" t="s">
        <v>72</v>
      </c>
      <c r="G93" s="65"/>
      <c r="H93" s="0"/>
      <c r="I93" s="65" t="n">
        <f aca="false">+H105*I14</f>
        <v>0</v>
      </c>
      <c r="J93" s="65" t="e">
        <f aca="false">+I105*J14</f>
        <v>#VALUE!</v>
      </c>
      <c r="K93" s="65" t="e">
        <f aca="false">+J105*K14</f>
        <v>#VALUE!</v>
      </c>
      <c r="L93" s="65" t="e">
        <f aca="false">+K105*L14</f>
        <v>#VALUE!</v>
      </c>
      <c r="M93" s="65" t="e">
        <f aca="false">+L105*M14</f>
        <v>#VALUE!</v>
      </c>
      <c r="N93" s="65" t="e">
        <f aca="false">+M105*N14</f>
        <v>#VALUE!</v>
      </c>
      <c r="O93" s="65" t="e">
        <f aca="false">+N105*O14</f>
        <v>#VALUE!</v>
      </c>
      <c r="P93" s="65" t="e">
        <f aca="false">+O105*P14</f>
        <v>#VALUE!</v>
      </c>
      <c r="Q93" s="65" t="e">
        <f aca="false">+P105*Q14</f>
        <v>#VALUE!</v>
      </c>
      <c r="R93" s="65" t="e">
        <f aca="false">+Q105*R14</f>
        <v>#VALUE!</v>
      </c>
      <c r="S93" s="65" t="e">
        <f aca="false">+R105*S14</f>
        <v>#VALUE!</v>
      </c>
      <c r="T93" s="65" t="e">
        <f aca="false">+S105*T14</f>
        <v>#VALUE!</v>
      </c>
      <c r="U93" s="65" t="e">
        <f aca="false">+T105*U14</f>
        <v>#VALUE!</v>
      </c>
      <c r="V93" s="65" t="e">
        <f aca="false">+U105*V14</f>
        <v>#VALUE!</v>
      </c>
      <c r="W93" s="65" t="e">
        <f aca="false">+V105*W14</f>
        <v>#VALUE!</v>
      </c>
      <c r="X93" s="65" t="e">
        <f aca="false">+W105*X14</f>
        <v>#VALUE!</v>
      </c>
      <c r="Y93" s="65" t="e">
        <f aca="false">+X105*Y14</f>
        <v>#VALUE!</v>
      </c>
      <c r="Z93" s="65" t="e">
        <f aca="false">+Y105*Z14</f>
        <v>#VALUE!</v>
      </c>
      <c r="AA93" s="65" t="e">
        <f aca="false">+Z105*AA14</f>
        <v>#VALUE!</v>
      </c>
      <c r="AB93" s="65" t="e">
        <f aca="false">+AA105*AB14</f>
        <v>#VALUE!</v>
      </c>
      <c r="AC93" s="65" t="e">
        <f aca="false">+AB105*AC14</f>
        <v>#VALUE!</v>
      </c>
      <c r="AD93" s="65" t="e">
        <f aca="false">+AC105*AD14</f>
        <v>#VALUE!</v>
      </c>
      <c r="AE93" s="65" t="e">
        <f aca="false">+AD105*AE14</f>
        <v>#VALUE!</v>
      </c>
      <c r="AF93" s="65" t="e">
        <f aca="false">+AE105*AF14</f>
        <v>#VALUE!</v>
      </c>
      <c r="AG93" s="65" t="e">
        <f aca="false">+AF105*AG14</f>
        <v>#VALUE!</v>
      </c>
      <c r="AH93" s="65" t="e">
        <f aca="false">+AG105*AH14</f>
        <v>#VALUE!</v>
      </c>
      <c r="AI93" s="65" t="e">
        <f aca="false">+AH105*AI14</f>
        <v>#VALUE!</v>
      </c>
      <c r="AJ93" s="65" t="e">
        <f aca="false">+AI105*AJ14</f>
        <v>#VALUE!</v>
      </c>
      <c r="AK93" s="65" t="e">
        <f aca="false">+AJ105*AK14</f>
        <v>#VALUE!</v>
      </c>
      <c r="AL93" s="65" t="e">
        <f aca="false">+AK105*AL14</f>
        <v>#VALUE!</v>
      </c>
    </row>
    <row r="94" customFormat="false" ht="15" hidden="false" customHeight="false" outlineLevel="0" collapsed="false">
      <c r="C94" s="132" t="s">
        <v>255</v>
      </c>
      <c r="D94" s="117"/>
      <c r="E94" s="118" t="s">
        <v>72</v>
      </c>
      <c r="F94" s="117"/>
      <c r="G94" s="123"/>
      <c r="H94" s="119"/>
      <c r="I94" s="123" t="e">
        <f aca="false">MAX(SUM(I91:I93),0)</f>
        <v>#VALUE!</v>
      </c>
      <c r="J94" s="123" t="e">
        <f aca="false">MAX(SUM(J91:J93),0)</f>
        <v>#VALUE!</v>
      </c>
      <c r="K94" s="123" t="e">
        <f aca="false">MAX(SUM(K91:K93),0)</f>
        <v>#VALUE!</v>
      </c>
      <c r="L94" s="123" t="e">
        <f aca="false">MAX(SUM(L91:L93),0)</f>
        <v>#VALUE!</v>
      </c>
      <c r="M94" s="123" t="e">
        <f aca="false">MAX(SUM(M91:M93),0)</f>
        <v>#VALUE!</v>
      </c>
      <c r="N94" s="123" t="e">
        <f aca="false">MAX(SUM(N91:N93),0)</f>
        <v>#VALUE!</v>
      </c>
      <c r="O94" s="123" t="e">
        <f aca="false">MAX(SUM(O91:O93),0)</f>
        <v>#VALUE!</v>
      </c>
      <c r="P94" s="123" t="e">
        <f aca="false">MAX(SUM(P91:P93),0)</f>
        <v>#VALUE!</v>
      </c>
      <c r="Q94" s="123" t="e">
        <f aca="false">MAX(SUM(Q91:Q93),0)</f>
        <v>#VALUE!</v>
      </c>
      <c r="R94" s="123" t="e">
        <f aca="false">MAX(SUM(R91:R93),0)</f>
        <v>#VALUE!</v>
      </c>
      <c r="S94" s="123" t="e">
        <f aca="false">MAX(SUM(S91:S93),0)</f>
        <v>#VALUE!</v>
      </c>
      <c r="T94" s="123" t="e">
        <f aca="false">MAX(SUM(T91:T93),0)</f>
        <v>#VALUE!</v>
      </c>
      <c r="U94" s="123" t="e">
        <f aca="false">MAX(SUM(U91:U93),0)</f>
        <v>#VALUE!</v>
      </c>
      <c r="V94" s="123" t="e">
        <f aca="false">MAX(SUM(V91:V93),0)</f>
        <v>#VALUE!</v>
      </c>
      <c r="W94" s="123" t="e">
        <f aca="false">MAX(SUM(W91:W93),0)</f>
        <v>#VALUE!</v>
      </c>
      <c r="X94" s="123" t="e">
        <f aca="false">MAX(SUM(X91:X93),0)</f>
        <v>#VALUE!</v>
      </c>
      <c r="Y94" s="123" t="e">
        <f aca="false">MAX(SUM(Y91:Y93),0)</f>
        <v>#VALUE!</v>
      </c>
      <c r="Z94" s="123" t="e">
        <f aca="false">MAX(SUM(Z91:Z93),0)</f>
        <v>#VALUE!</v>
      </c>
      <c r="AA94" s="123" t="e">
        <f aca="false">MAX(SUM(AA91:AA93),0)</f>
        <v>#VALUE!</v>
      </c>
      <c r="AB94" s="123" t="e">
        <f aca="false">MAX(SUM(AB91:AB93),0)</f>
        <v>#VALUE!</v>
      </c>
      <c r="AC94" s="123" t="e">
        <f aca="false">MAX(SUM(AC91:AC93),0)</f>
        <v>#VALUE!</v>
      </c>
      <c r="AD94" s="123" t="e">
        <f aca="false">MAX(SUM(AD91:AD93),0)</f>
        <v>#VALUE!</v>
      </c>
      <c r="AE94" s="123" t="e">
        <f aca="false">MAX(SUM(AE91:AE93),0)</f>
        <v>#VALUE!</v>
      </c>
      <c r="AF94" s="123" t="e">
        <f aca="false">MAX(SUM(AF91:AF93),0)</f>
        <v>#VALUE!</v>
      </c>
      <c r="AG94" s="123" t="e">
        <f aca="false">MAX(SUM(AG91:AG93),0)</f>
        <v>#VALUE!</v>
      </c>
      <c r="AH94" s="123" t="e">
        <f aca="false">MAX(SUM(AH91:AH93),0)</f>
        <v>#VALUE!</v>
      </c>
      <c r="AI94" s="123" t="e">
        <f aca="false">MAX(SUM(AI91:AI93),0)</f>
        <v>#VALUE!</v>
      </c>
      <c r="AJ94" s="123" t="e">
        <f aca="false">MAX(SUM(AJ91:AJ93),0)</f>
        <v>#VALUE!</v>
      </c>
      <c r="AK94" s="123" t="e">
        <f aca="false">MAX(SUM(AK91:AK93),0)</f>
        <v>#VALUE!</v>
      </c>
      <c r="AL94" s="123" t="e">
        <f aca="false">MAX(SUM(AL91:AL93),0)</f>
        <v>#VALUE!</v>
      </c>
    </row>
    <row r="96" customFormat="false" ht="15" hidden="false" customHeight="false" outlineLevel="0" collapsed="false">
      <c r="C96" s="0" t="s">
        <v>256</v>
      </c>
      <c r="E96" s="0"/>
      <c r="H96" s="0"/>
    </row>
    <row r="97" customFormat="false" ht="15" hidden="false" customHeight="false" outlineLevel="0" collapsed="false">
      <c r="C97" s="0" t="s">
        <v>257</v>
      </c>
      <c r="E97" s="104" t="s">
        <v>72</v>
      </c>
      <c r="G97" s="65"/>
      <c r="H97" s="0"/>
      <c r="I97" s="65" t="e">
        <f aca="false">-I7*(cap_decrease_legal="yes")*MAX(-('Balance Sheet'!I35-Land_value),-I94)*(I14=0)+I14*'Balance Sheet'!I35</f>
        <v>#NAME?</v>
      </c>
      <c r="J97" s="65" t="e">
        <f aca="false">-J7*(cap_decrease_legal="yes")*MAX(-('Balance Sheet'!J35-Land_value),-J94)*(J14=0)+J14*'Balance Sheet'!J35</f>
        <v>#VALUE!</v>
      </c>
      <c r="K97" s="65" t="e">
        <f aca="false">-K7*(cap_decrease_legal="yes")*MAX(-('Balance Sheet'!K35-Land_value),-K94)*(K14=0)+K14*'Balance Sheet'!K35</f>
        <v>#VALUE!</v>
      </c>
      <c r="L97" s="65" t="e">
        <f aca="false">-L7*(cap_decrease_legal="yes")*MAX(-('Balance Sheet'!L35-Land_value),-L94)*(L14=0)+L14*'Balance Sheet'!L35</f>
        <v>#VALUE!</v>
      </c>
      <c r="M97" s="65" t="e">
        <f aca="false">-M7*(cap_decrease_legal="yes")*MAX(-('Balance Sheet'!M35-Land_value),-M94)*(M14=0)+M14*'Balance Sheet'!M35</f>
        <v>#VALUE!</v>
      </c>
      <c r="N97" s="65" t="e">
        <f aca="false">-N7*(cap_decrease_legal="yes")*MAX(-('Balance Sheet'!N35-Land_value),-N94)*(N14=0)+N14*'Balance Sheet'!N35</f>
        <v>#VALUE!</v>
      </c>
      <c r="O97" s="65" t="e">
        <f aca="false">-O7*(cap_decrease_legal="yes")*MAX(-('Balance Sheet'!O35-Land_value),-O94)*(O14=0)+O14*'Balance Sheet'!O35</f>
        <v>#VALUE!</v>
      </c>
      <c r="P97" s="65" t="e">
        <f aca="false">-P7*(cap_decrease_legal="yes")*MAX(-('Balance Sheet'!P35-Land_value),-P94)*(P14=0)+P14*'Balance Sheet'!P35</f>
        <v>#VALUE!</v>
      </c>
      <c r="Q97" s="65" t="e">
        <f aca="false">-Q7*(cap_decrease_legal="yes")*MAX(-('Balance Sheet'!Q35-Land_value),-Q94)*(Q14=0)+Q14*'Balance Sheet'!Q35</f>
        <v>#VALUE!</v>
      </c>
      <c r="R97" s="65" t="e">
        <f aca="false">-R7*(cap_decrease_legal="yes")*MAX(-('Balance Sheet'!R35-Land_value),-R94)*(R14=0)+R14*'Balance Sheet'!R35</f>
        <v>#VALUE!</v>
      </c>
      <c r="S97" s="65" t="e">
        <f aca="false">-S7*(cap_decrease_legal="yes")*MAX(-('Balance Sheet'!S35-Land_value),-S94)*(S14=0)+S14*'Balance Sheet'!S35</f>
        <v>#VALUE!</v>
      </c>
      <c r="T97" s="65" t="e">
        <f aca="false">-T7*(cap_decrease_legal="yes")*MAX(-('Balance Sheet'!T35-Land_value),-T94)*(T14=0)+T14*'Balance Sheet'!T35</f>
        <v>#VALUE!</v>
      </c>
      <c r="U97" s="65" t="e">
        <f aca="false">-U7*(cap_decrease_legal="yes")*MAX(-('Balance Sheet'!U35-Land_value),-U94)*(U14=0)+U14*'Balance Sheet'!U35</f>
        <v>#VALUE!</v>
      </c>
      <c r="V97" s="65" t="e">
        <f aca="false">-V7*(cap_decrease_legal="yes")*MAX(-('Balance Sheet'!V35-Land_value),-V94)*(V14=0)+V14*'Balance Sheet'!V35</f>
        <v>#VALUE!</v>
      </c>
      <c r="W97" s="65" t="e">
        <f aca="false">-W7*(cap_decrease_legal="yes")*MAX(-('Balance Sheet'!W35-Land_value),-W94)*(W14=0)+W14*'Balance Sheet'!W35</f>
        <v>#VALUE!</v>
      </c>
      <c r="X97" s="65" t="e">
        <f aca="false">-X7*(cap_decrease_legal="yes")*MAX(-('Balance Sheet'!X35-Land_value),-X94)*(X14=0)+X14*'Balance Sheet'!X35</f>
        <v>#VALUE!</v>
      </c>
      <c r="Y97" s="65" t="e">
        <f aca="false">-Y7*(cap_decrease_legal="yes")*MAX(-('Balance Sheet'!Y35-Land_value),-Y94)*(Y14=0)+Y14*'Balance Sheet'!Y35</f>
        <v>#VALUE!</v>
      </c>
      <c r="Z97" s="65" t="e">
        <f aca="false">-Z7*(cap_decrease_legal="yes")*MAX(-('Balance Sheet'!Z35-Land_value),-Z94)*(Z14=0)+Z14*'Balance Sheet'!Z35</f>
        <v>#VALUE!</v>
      </c>
      <c r="AA97" s="65" t="e">
        <f aca="false">-AA7*(cap_decrease_legal="yes")*MAX(-('Balance Sheet'!AA35-Land_value),-AA94)*(AA14=0)+AA14*'Balance Sheet'!AA35</f>
        <v>#VALUE!</v>
      </c>
      <c r="AB97" s="65" t="e">
        <f aca="false">-AB7*(cap_decrease_legal="yes")*MAX(-('Balance Sheet'!AB35-Land_value),-AB94)*(AB14=0)+AB14*'Balance Sheet'!AB35</f>
        <v>#VALUE!</v>
      </c>
      <c r="AC97" s="65" t="e">
        <f aca="false">-AC7*(cap_decrease_legal="yes")*MAX(-('Balance Sheet'!AC35-Land_value),-AC94)*(AC14=0)+AC14*'Balance Sheet'!AC35</f>
        <v>#VALUE!</v>
      </c>
      <c r="AD97" s="65" t="e">
        <f aca="false">-AD7*(cap_decrease_legal="yes")*MAX(-('Balance Sheet'!AD35-Land_value),-AD94)*(AD14=0)+AD14*'Balance Sheet'!AD35</f>
        <v>#VALUE!</v>
      </c>
      <c r="AE97" s="65" t="e">
        <f aca="false">-AE7*(cap_decrease_legal="yes")*MAX(-('Balance Sheet'!AE35-Land_value),-AE94)*(AE14=0)+AE14*'Balance Sheet'!AE35</f>
        <v>#VALUE!</v>
      </c>
      <c r="AF97" s="65" t="e">
        <f aca="false">-AF7*(cap_decrease_legal="yes")*MAX(-('Balance Sheet'!AF35-Land_value),-AF94)*(AF14=0)+AF14*'Balance Sheet'!AF35</f>
        <v>#VALUE!</v>
      </c>
      <c r="AG97" s="65" t="e">
        <f aca="false">-AG7*(cap_decrease_legal="yes")*MAX(-('Balance Sheet'!AG35-Land_value),-AG94)*(AG14=0)+AG14*'Balance Sheet'!AG35</f>
        <v>#VALUE!</v>
      </c>
      <c r="AH97" s="65" t="e">
        <f aca="false">-AH7*(cap_decrease_legal="yes")*MAX(-('Balance Sheet'!AH35-Land_value),-AH94)*(AH14=0)+AH14*'Balance Sheet'!AH35</f>
        <v>#VALUE!</v>
      </c>
      <c r="AI97" s="65" t="e">
        <f aca="false">-AI7*(cap_decrease_legal="yes")*MAX(-('Balance Sheet'!AI35-Land_value),-AI94)*(AI14=0)+AI14*'Balance Sheet'!AI35</f>
        <v>#VALUE!</v>
      </c>
      <c r="AJ97" s="65" t="e">
        <f aca="false">-AJ7*(cap_decrease_legal="yes")*MAX(-('Balance Sheet'!AJ35-Land_value),-AJ94)*(AJ14=0)+AJ14*'Balance Sheet'!AJ35</f>
        <v>#VALUE!</v>
      </c>
      <c r="AK97" s="65" t="e">
        <f aca="false">-AK7*(cap_decrease_legal="yes")*MAX(-('Balance Sheet'!AK35-Land_value),-AK94)*(AK14=0)+AK14*'Balance Sheet'!AK35</f>
        <v>#VALUE!</v>
      </c>
      <c r="AL97" s="65" t="e">
        <f aca="false">-AL7*(cap_decrease_legal="yes")*MAX(-('Balance Sheet'!AL35-Land_value),-AL94)*(AL14=0)+AL14*'Balance Sheet'!AL35</f>
        <v>#VALUE!</v>
      </c>
    </row>
    <row r="98" customFormat="false" ht="15" hidden="false" customHeight="false" outlineLevel="0" collapsed="false">
      <c r="C98" s="0" t="s">
        <v>258</v>
      </c>
      <c r="E98" s="104" t="s">
        <v>72</v>
      </c>
      <c r="G98" s="65"/>
      <c r="H98" s="0"/>
      <c r="I98" s="65" t="e">
        <f aca="false">IF(I14=1,I94-I97,MAX(MIN('Balance Sheet'!H44,I94),0))</f>
        <v>#VALUE!</v>
      </c>
      <c r="J98" s="65" t="e">
        <f aca="false">IF(J14=1,J94-J97,MAX(MIN('Balance Sheet'!I44,J94),0))</f>
        <v>#VALUE!</v>
      </c>
      <c r="K98" s="65" t="e">
        <f aca="false">IF(K14=1,K94-K97,MAX(MIN('Balance Sheet'!J44,K94),0))</f>
        <v>#VALUE!</v>
      </c>
      <c r="L98" s="65" t="e">
        <f aca="false">IF(L14=1,L94-L97,MAX(MIN('Balance Sheet'!K44,L94),0))</f>
        <v>#VALUE!</v>
      </c>
      <c r="M98" s="65" t="e">
        <f aca="false">IF(M14=1,M94-M97,MAX(MIN('Balance Sheet'!L44,M94),0))</f>
        <v>#VALUE!</v>
      </c>
      <c r="N98" s="65" t="e">
        <f aca="false">IF(N14=1,N94-N97,MAX(MIN('Balance Sheet'!M44,N94),0))</f>
        <v>#VALUE!</v>
      </c>
      <c r="O98" s="65" t="e">
        <f aca="false">IF(O14=1,O94-O97,MAX(MIN('Balance Sheet'!N44,O94),0))</f>
        <v>#VALUE!</v>
      </c>
      <c r="P98" s="65" t="e">
        <f aca="false">IF(P14=1,P94-P97,MAX(MIN('Balance Sheet'!O44,P94),0))</f>
        <v>#VALUE!</v>
      </c>
      <c r="Q98" s="65" t="e">
        <f aca="false">IF(Q14=1,Q94-Q97,MAX(MIN('Balance Sheet'!P44,Q94),0))</f>
        <v>#VALUE!</v>
      </c>
      <c r="R98" s="65" t="e">
        <f aca="false">IF(R14=1,R94-R97,MAX(MIN('Balance Sheet'!Q44,R94),0))</f>
        <v>#VALUE!</v>
      </c>
      <c r="S98" s="65" t="e">
        <f aca="false">IF(S14=1,S94-S97,MAX(MIN('Balance Sheet'!R44,S94),0))</f>
        <v>#VALUE!</v>
      </c>
      <c r="T98" s="65" t="e">
        <f aca="false">IF(T14=1,T94-T97,MAX(MIN('Balance Sheet'!S44,T94),0))</f>
        <v>#VALUE!</v>
      </c>
      <c r="U98" s="65" t="e">
        <f aca="false">IF(U14=1,U94-U97,MAX(MIN('Balance Sheet'!T44,U94),0))</f>
        <v>#VALUE!</v>
      </c>
      <c r="V98" s="65" t="e">
        <f aca="false">IF(V14=1,V94-V97,MAX(MIN('Balance Sheet'!U44,V94),0))</f>
        <v>#VALUE!</v>
      </c>
      <c r="W98" s="65" t="e">
        <f aca="false">IF(W14=1,W94-W97,MAX(MIN('Balance Sheet'!V44,W94),0))</f>
        <v>#VALUE!</v>
      </c>
      <c r="X98" s="65" t="e">
        <f aca="false">IF(X14=1,X94-X97,MAX(MIN('Balance Sheet'!W44,X94),0))</f>
        <v>#VALUE!</v>
      </c>
      <c r="Y98" s="65" t="e">
        <f aca="false">IF(Y14=1,Y94-Y97,MAX(MIN('Balance Sheet'!X44,Y94),0))</f>
        <v>#VALUE!</v>
      </c>
      <c r="Z98" s="65" t="e">
        <f aca="false">IF(Z14=1,Z94-Z97,MAX(MIN('Balance Sheet'!Y44,Z94),0))</f>
        <v>#VALUE!</v>
      </c>
      <c r="AA98" s="65" t="e">
        <f aca="false">IF(AA14=1,AA94-AA97,MAX(MIN('Balance Sheet'!Z44,AA94),0))</f>
        <v>#VALUE!</v>
      </c>
      <c r="AB98" s="65" t="e">
        <f aca="false">IF(AC14=1,AB94-AB97,MAX(MIN('Balance Sheet'!AA44,AB94),0))</f>
        <v>#VALUE!</v>
      </c>
      <c r="AC98" s="65" t="e">
        <f aca="false">IF(AC14=1,AC94-AC97,MAX(MIN('Balance Sheet'!AB44,AC94),0))</f>
        <v>#VALUE!</v>
      </c>
      <c r="AD98" s="65" t="e">
        <f aca="false">IF(AD14=1,AD94-AD97,MAX(MIN('Balance Sheet'!AC44,AD94),0))</f>
        <v>#VALUE!</v>
      </c>
      <c r="AE98" s="65" t="e">
        <f aca="false">IF(AE14=1,AE94-AE97,MAX(MIN('Balance Sheet'!AD44,AE94),0))</f>
        <v>#VALUE!</v>
      </c>
      <c r="AF98" s="65" t="e">
        <f aca="false">IF(AF14=1,AF94-AF97,MAX(MIN('Balance Sheet'!AE44,AF94),0))</f>
        <v>#VALUE!</v>
      </c>
      <c r="AG98" s="65" t="e">
        <f aca="false">IF(AG14=1,AG94-AG97,MAX(MIN('Balance Sheet'!AF44,AG94),0))</f>
        <v>#VALUE!</v>
      </c>
      <c r="AH98" s="65" t="e">
        <f aca="false">IF(AH14=1,AH94-AH97,MAX(MIN('Balance Sheet'!AG44,AH94),0))</f>
        <v>#VALUE!</v>
      </c>
      <c r="AI98" s="65" t="e">
        <f aca="false">IF(AI14=1,AI94-AI97,MAX(MIN('Balance Sheet'!AH44,AI94),0))</f>
        <v>#VALUE!</v>
      </c>
      <c r="AJ98" s="65" t="e">
        <f aca="false">IF(AJ14=1,AJ94-AJ97,MAX(MIN('Balance Sheet'!AI44,AJ94),0))</f>
        <v>#VALUE!</v>
      </c>
      <c r="AK98" s="65" t="e">
        <f aca="false">IF(AK14=1,AK94-AK97,MAX(MIN('Balance Sheet'!AJ44,AK94),0))</f>
        <v>#VALUE!</v>
      </c>
      <c r="AL98" s="65" t="e">
        <f aca="false">IF(AL14=1,AL94-AL97,MAX(MIN('Balance Sheet'!AK44,AL94),0))</f>
        <v>#VALUE!</v>
      </c>
    </row>
    <row r="99" customFormat="false" ht="15" hidden="false" customHeight="false" outlineLevel="0" collapsed="false">
      <c r="E99" s="0"/>
      <c r="G99" s="65"/>
      <c r="H99" s="0"/>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row>
    <row r="100" customFormat="false" ht="15" hidden="false" customHeight="false" outlineLevel="0" collapsed="false">
      <c r="C100" s="0" t="s">
        <v>259</v>
      </c>
      <c r="E100" s="104" t="s">
        <v>72</v>
      </c>
      <c r="G100" s="65"/>
      <c r="H100" s="0"/>
      <c r="I100" s="65" t="e">
        <f aca="false">-IF(CF_priority="cap decrease",I97,MIN(I94-I101,I97))</f>
        <v>#VALUE!</v>
      </c>
      <c r="J100" s="65" t="e">
        <f aca="false">-IF(CF_priority="cap decrease",J97,MIN(J94-J101,J97))</f>
        <v>#VALUE!</v>
      </c>
      <c r="K100" s="65" t="e">
        <f aca="false">-IF(CF_priority="cap decrease",K97,MIN(K94-K101,K97))</f>
        <v>#VALUE!</v>
      </c>
      <c r="L100" s="65" t="e">
        <f aca="false">-IF(CF_priority="cap decrease",L97,MIN(L94-L101,L97))</f>
        <v>#VALUE!</v>
      </c>
      <c r="M100" s="65" t="e">
        <f aca="false">-IF(CF_priority="cap decrease",M97,MIN(M94-M101,M97))</f>
        <v>#VALUE!</v>
      </c>
      <c r="N100" s="65" t="e">
        <f aca="false">-IF(CF_priority="cap decrease",N97,MIN(N94-N101,N97))</f>
        <v>#VALUE!</v>
      </c>
      <c r="O100" s="65" t="e">
        <f aca="false">-IF(CF_priority="cap decrease",O97,MIN(O94-O101,O97))</f>
        <v>#VALUE!</v>
      </c>
      <c r="P100" s="65" t="e">
        <f aca="false">-IF(CF_priority="cap decrease",P97,MIN(P94-P101,P97))</f>
        <v>#VALUE!</v>
      </c>
      <c r="Q100" s="65" t="e">
        <f aca="false">-IF(CF_priority="cap decrease",Q97,MIN(Q94-Q101,Q97))</f>
        <v>#VALUE!</v>
      </c>
      <c r="R100" s="65" t="e">
        <f aca="false">-IF(CF_priority="cap decrease",R97,MIN(R94-R101,R97))</f>
        <v>#VALUE!</v>
      </c>
      <c r="S100" s="65" t="e">
        <f aca="false">-IF(CF_priority="cap decrease",S97,MIN(S94-S101,S97))</f>
        <v>#VALUE!</v>
      </c>
      <c r="T100" s="65" t="e">
        <f aca="false">-IF(CF_priority="cap decrease",T97,MIN(T94-T101,T97))</f>
        <v>#VALUE!</v>
      </c>
      <c r="U100" s="65" t="e">
        <f aca="false">-IF(CF_priority="cap decrease",U97,MIN(U94-U101,U97))</f>
        <v>#VALUE!</v>
      </c>
      <c r="V100" s="65" t="e">
        <f aca="false">-IF(CF_priority="cap decrease",V97,MIN(V94-V101,V97))</f>
        <v>#VALUE!</v>
      </c>
      <c r="W100" s="65" t="e">
        <f aca="false">-IF(CF_priority="cap decrease",W97,MIN(W94-W101,W97))</f>
        <v>#VALUE!</v>
      </c>
      <c r="X100" s="65" t="e">
        <f aca="false">-IF(CF_priority="cap decrease",X97,MIN(X94-X101,X97))</f>
        <v>#VALUE!</v>
      </c>
      <c r="Y100" s="65" t="e">
        <f aca="false">-IF(CF_priority="cap decrease",Y97,MIN(Y94-Y101,Y97))</f>
        <v>#VALUE!</v>
      </c>
      <c r="Z100" s="65" t="e">
        <f aca="false">-IF(CF_priority="cap decrease",Z97,MIN(Z94-Z101,Z97))</f>
        <v>#VALUE!</v>
      </c>
      <c r="AA100" s="65" t="e">
        <f aca="false">-IF(CF_priority="cap decrease",AA97,MIN(AA94-AA101,AA97))</f>
        <v>#VALUE!</v>
      </c>
      <c r="AB100" s="65" t="e">
        <f aca="false">-IF(CF_priority="cap decrease",AB97,MIN(AB94-AB101,AB97))</f>
        <v>#VALUE!</v>
      </c>
      <c r="AC100" s="65" t="e">
        <f aca="false">-IF(CF_priority="cap decrease",AC97,MIN(AC94-AC101,AC97))</f>
        <v>#VALUE!</v>
      </c>
      <c r="AD100" s="65" t="e">
        <f aca="false">-IF(CF_priority="cap decrease",AD97,MIN(AD94-AD101,AD97))</f>
        <v>#VALUE!</v>
      </c>
      <c r="AE100" s="65" t="e">
        <f aca="false">-IF(CF_priority="cap decrease",AE97,MIN(AE94-AE101,AE97))</f>
        <v>#VALUE!</v>
      </c>
      <c r="AF100" s="65" t="e">
        <f aca="false">-IF(CF_priority="cap decrease",AF97,MIN(AF94-AF101,AF97))</f>
        <v>#VALUE!</v>
      </c>
      <c r="AG100" s="65" t="e">
        <f aca="false">-IF(CF_priority="cap decrease",AG97,MIN(AG94-AG101,AG97))</f>
        <v>#VALUE!</v>
      </c>
      <c r="AH100" s="65" t="e">
        <f aca="false">-IF(CF_priority="cap decrease",AH97,MIN(AH94-AH101,AH97))</f>
        <v>#VALUE!</v>
      </c>
      <c r="AI100" s="65" t="e">
        <f aca="false">-IF(CF_priority="cap decrease",AI97,MIN(AI94-AI101,AI97))</f>
        <v>#VALUE!</v>
      </c>
      <c r="AJ100" s="65" t="e">
        <f aca="false">-IF(CF_priority="cap decrease",AJ97,MIN(AJ94-AJ101,AJ97))</f>
        <v>#VALUE!</v>
      </c>
      <c r="AK100" s="65" t="e">
        <f aca="false">-IF(CF_priority="cap decrease",AK97,MIN(AK94-AK101,AK97))</f>
        <v>#VALUE!</v>
      </c>
      <c r="AL100" s="65" t="e">
        <f aca="false">-IF(CF_priority="cap decrease",AL97,MIN(AL94-AL101,AL97))</f>
        <v>#VALUE!</v>
      </c>
    </row>
    <row r="101" customFormat="false" ht="15" hidden="false" customHeight="false" outlineLevel="0" collapsed="false">
      <c r="C101" s="0" t="s">
        <v>260</v>
      </c>
      <c r="E101" s="104" t="s">
        <v>72</v>
      </c>
      <c r="H101" s="0"/>
      <c r="I101" s="133" t="e">
        <f aca="false">IF(CF_priority="cap decrease",SUM(I94,I100),I98)</f>
        <v>#VALUE!</v>
      </c>
      <c r="J101" s="133" t="e">
        <f aca="false">IF(CF_priority="cap decrease",SUM(J94,J100),J98)</f>
        <v>#VALUE!</v>
      </c>
      <c r="K101" s="133" t="e">
        <f aca="false">IF(CF_priority="cap decrease",SUM(K94,K100),K98)</f>
        <v>#VALUE!</v>
      </c>
      <c r="L101" s="133" t="e">
        <f aca="false">IF(CF_priority="cap decrease",SUM(L94,L100),L98)</f>
        <v>#VALUE!</v>
      </c>
      <c r="M101" s="133" t="e">
        <f aca="false">IF(CF_priority="cap decrease",SUM(M94,M100),M98)</f>
        <v>#VALUE!</v>
      </c>
      <c r="N101" s="133" t="e">
        <f aca="false">IF(CF_priority="cap decrease",SUM(N94,N100),N98)</f>
        <v>#VALUE!</v>
      </c>
      <c r="O101" s="133" t="e">
        <f aca="false">IF(CF_priority="cap decrease",SUM(O94,O100),O98)</f>
        <v>#VALUE!</v>
      </c>
      <c r="P101" s="133" t="e">
        <f aca="false">IF(CF_priority="cap decrease",SUM(P94,P100),P98)</f>
        <v>#VALUE!</v>
      </c>
      <c r="Q101" s="133" t="e">
        <f aca="false">IF(CF_priority="cap decrease",SUM(Q94,Q100),Q98)</f>
        <v>#VALUE!</v>
      </c>
      <c r="R101" s="133" t="e">
        <f aca="false">IF(CF_priority="cap decrease",SUM(R94,R100),R98)</f>
        <v>#VALUE!</v>
      </c>
      <c r="S101" s="133" t="e">
        <f aca="false">IF(CF_priority="cap decrease",SUM(S94,S100),S98)</f>
        <v>#VALUE!</v>
      </c>
      <c r="T101" s="133" t="e">
        <f aca="false">IF(CF_priority="cap decrease",SUM(T94,T100),T98)</f>
        <v>#VALUE!</v>
      </c>
      <c r="U101" s="133" t="e">
        <f aca="false">IF(CF_priority="cap decrease",SUM(U94,U100),U98)</f>
        <v>#VALUE!</v>
      </c>
      <c r="V101" s="133" t="e">
        <f aca="false">IF(CF_priority="cap decrease",SUM(V94,V100),V98)</f>
        <v>#VALUE!</v>
      </c>
      <c r="W101" s="133" t="e">
        <f aca="false">IF(CF_priority="cap decrease",SUM(W94,W100),W98)</f>
        <v>#VALUE!</v>
      </c>
      <c r="X101" s="133" t="e">
        <f aca="false">IF(CF_priority="cap decrease",SUM(X94,X100),X98)</f>
        <v>#VALUE!</v>
      </c>
      <c r="Y101" s="133" t="e">
        <f aca="false">IF(CF_priority="cap decrease",SUM(Y94,Y100),Y98)</f>
        <v>#VALUE!</v>
      </c>
      <c r="Z101" s="133" t="e">
        <f aca="false">IF(CF_priority="cap decrease",SUM(Z94,Z100),Z98)</f>
        <v>#VALUE!</v>
      </c>
      <c r="AA101" s="133" t="e">
        <f aca="false">IF(CF_priority="cap decrease",SUM(AA94,AA100),AA98)</f>
        <v>#VALUE!</v>
      </c>
      <c r="AB101" s="133" t="e">
        <f aca="false">IF(CF_priority="cap decrease",SUM(AB94,AB100),AB98)</f>
        <v>#VALUE!</v>
      </c>
      <c r="AC101" s="133" t="e">
        <f aca="false">IF(CF_priority="cap decrease",SUM(AC94,AC100),AC98)</f>
        <v>#VALUE!</v>
      </c>
      <c r="AD101" s="133" t="e">
        <f aca="false">IF(CF_priority="cap decrease",SUM(AD94,AD100),AD98)</f>
        <v>#VALUE!</v>
      </c>
      <c r="AE101" s="133" t="e">
        <f aca="false">IF(CF_priority="cap decrease",SUM(AE94,AE100),AE98)</f>
        <v>#VALUE!</v>
      </c>
      <c r="AF101" s="133" t="e">
        <f aca="false">IF(CF_priority="cap decrease",SUM(AF94,AF100),AF98)</f>
        <v>#VALUE!</v>
      </c>
      <c r="AG101" s="133" t="e">
        <f aca="false">IF(CF_priority="cap decrease",SUM(AG94,AG100),AG98)</f>
        <v>#VALUE!</v>
      </c>
      <c r="AH101" s="133" t="e">
        <f aca="false">IF(CF_priority="cap decrease",SUM(AH94,AH100),AH98)</f>
        <v>#VALUE!</v>
      </c>
      <c r="AI101" s="133" t="e">
        <f aca="false">IF(CF_priority="cap decrease",SUM(AI94,AI100),AI98)</f>
        <v>#VALUE!</v>
      </c>
      <c r="AJ101" s="133" t="e">
        <f aca="false">IF(CF_priority="cap decrease",SUM(AJ94,AJ100),AJ98)</f>
        <v>#VALUE!</v>
      </c>
      <c r="AK101" s="133" t="e">
        <f aca="false">IF(CF_priority="cap decrease",SUM(AK94,AK100),AK98)</f>
        <v>#VALUE!</v>
      </c>
      <c r="AL101" s="133" t="e">
        <f aca="false">IF(CF_priority="cap decrease",SUM(AL94,AL100),AL98)</f>
        <v>#VALUE!</v>
      </c>
    </row>
    <row r="103" customFormat="false" ht="15" hidden="false" customHeight="false" outlineLevel="0" collapsed="false">
      <c r="C103" s="2" t="s">
        <v>261</v>
      </c>
      <c r="E103" s="104" t="s">
        <v>72</v>
      </c>
      <c r="G103" s="65"/>
      <c r="H103" s="0"/>
      <c r="I103" s="65" t="e">
        <f aca="false">-MIN(I101,I98)</f>
        <v>#VALUE!</v>
      </c>
      <c r="J103" s="65" t="e">
        <f aca="false">-MIN(J101,J98)</f>
        <v>#VALUE!</v>
      </c>
      <c r="K103" s="65" t="e">
        <f aca="false">-MIN(K101,K98)</f>
        <v>#VALUE!</v>
      </c>
      <c r="L103" s="65" t="e">
        <f aca="false">-MIN(L101,L98)</f>
        <v>#VALUE!</v>
      </c>
      <c r="M103" s="65" t="e">
        <f aca="false">-MIN(M101,M98)</f>
        <v>#VALUE!</v>
      </c>
      <c r="N103" s="65" t="e">
        <f aca="false">-MIN(N101,N98)</f>
        <v>#VALUE!</v>
      </c>
      <c r="O103" s="65" t="e">
        <f aca="false">-MIN(O101,O98)</f>
        <v>#VALUE!</v>
      </c>
      <c r="P103" s="65" t="e">
        <f aca="false">-MIN(P101,P98)</f>
        <v>#VALUE!</v>
      </c>
      <c r="Q103" s="65" t="e">
        <f aca="false">-MIN(Q101,Q98)</f>
        <v>#VALUE!</v>
      </c>
      <c r="R103" s="65" t="e">
        <f aca="false">-MIN(R101,R98)</f>
        <v>#VALUE!</v>
      </c>
      <c r="S103" s="65" t="e">
        <f aca="false">-MIN(S101,S98)</f>
        <v>#VALUE!</v>
      </c>
      <c r="T103" s="65" t="e">
        <f aca="false">-MIN(T101,T98)</f>
        <v>#VALUE!</v>
      </c>
      <c r="U103" s="65" t="e">
        <f aca="false">-MIN(U101,U98)</f>
        <v>#VALUE!</v>
      </c>
      <c r="V103" s="65" t="e">
        <f aca="false">-MIN(V101,V98)</f>
        <v>#VALUE!</v>
      </c>
      <c r="W103" s="65" t="e">
        <f aca="false">-MIN(W101,W98)</f>
        <v>#VALUE!</v>
      </c>
      <c r="X103" s="65" t="e">
        <f aca="false">-MIN(X101,X98)</f>
        <v>#VALUE!</v>
      </c>
      <c r="Y103" s="65" t="e">
        <f aca="false">-MIN(Y101,Y98)</f>
        <v>#VALUE!</v>
      </c>
      <c r="Z103" s="65" t="e">
        <f aca="false">-MIN(Z101,Z98)</f>
        <v>#VALUE!</v>
      </c>
      <c r="AA103" s="65" t="e">
        <f aca="false">-MIN(AA101,AA98)</f>
        <v>#VALUE!</v>
      </c>
      <c r="AB103" s="65" t="e">
        <f aca="false">-MIN(AB101,AB98)</f>
        <v>#VALUE!</v>
      </c>
      <c r="AC103" s="65" t="e">
        <f aca="false">-MIN(AC101,AC98)</f>
        <v>#VALUE!</v>
      </c>
      <c r="AD103" s="65" t="e">
        <f aca="false">-MIN(AD101,AD98)</f>
        <v>#VALUE!</v>
      </c>
      <c r="AE103" s="65" t="e">
        <f aca="false">-MIN(AE101,AE98)</f>
        <v>#VALUE!</v>
      </c>
      <c r="AF103" s="65" t="e">
        <f aca="false">-MIN(AF101,AF98)</f>
        <v>#VALUE!</v>
      </c>
      <c r="AG103" s="65" t="e">
        <f aca="false">-MIN(AG101,AG98)</f>
        <v>#VALUE!</v>
      </c>
      <c r="AH103" s="65" t="e">
        <f aca="false">-MIN(AH101,AH98)</f>
        <v>#VALUE!</v>
      </c>
      <c r="AI103" s="65" t="e">
        <f aca="false">-MIN(AI101,AI98)</f>
        <v>#VALUE!</v>
      </c>
      <c r="AJ103" s="65" t="e">
        <f aca="false">-MIN(AJ101,AJ98)</f>
        <v>#VALUE!</v>
      </c>
      <c r="AK103" s="65" t="e">
        <f aca="false">-MIN(AK101,AK98)</f>
        <v>#VALUE!</v>
      </c>
      <c r="AL103" s="65" t="e">
        <f aca="false">-MIN(AL101,AL98)</f>
        <v>#VALUE!</v>
      </c>
    </row>
    <row r="105" customFormat="false" ht="15" hidden="false" customHeight="false" outlineLevel="0" collapsed="false">
      <c r="C105" s="0" t="s">
        <v>262</v>
      </c>
      <c r="E105" s="104" t="s">
        <v>72</v>
      </c>
      <c r="G105" s="133"/>
      <c r="H105" s="0"/>
      <c r="I105" s="133" t="e">
        <f aca="false">I47+I53+I68+I76+I80+I81+I82+I83+I84+I92+I100+I103</f>
        <v>#VALUE!</v>
      </c>
      <c r="J105" s="133" t="e">
        <f aca="false">J47+J53+J68+J76+J80+J81+J82+J83+J84+J92+J100+J103</f>
        <v>#VALUE!</v>
      </c>
      <c r="K105" s="133" t="e">
        <f aca="false">K47+K53+K68+K76+K80+K81+K82+K83+K84+K92+K100+K103</f>
        <v>#VALUE!</v>
      </c>
      <c r="L105" s="133" t="e">
        <f aca="false">L47+L53+L68+L76+L80+L81+L82+L83+L84+L92+L100+L103</f>
        <v>#VALUE!</v>
      </c>
      <c r="M105" s="133" t="e">
        <f aca="false">M47+M53+M68+M76+M80+M81+M82+M83+M84+M92+M100+M103</f>
        <v>#VALUE!</v>
      </c>
      <c r="N105" s="133" t="e">
        <f aca="false">N47+N53+N68+N76+N80+N81+N82+N83+N84+N92+N100+N103</f>
        <v>#VALUE!</v>
      </c>
      <c r="O105" s="133" t="e">
        <f aca="false">O47+O53+O68+O76+O80+O81+O82+O83+O84+O92+O100+O103</f>
        <v>#VALUE!</v>
      </c>
      <c r="P105" s="133" t="e">
        <f aca="false">P47+P53+P68+P76+P80+P81+P82+P83+P84+P92+P100+P103</f>
        <v>#VALUE!</v>
      </c>
      <c r="Q105" s="133" t="e">
        <f aca="false">Q47+Q53+Q68+Q76+Q80+Q81+Q82+Q83+Q84+Q92+Q100+Q103</f>
        <v>#VALUE!</v>
      </c>
      <c r="R105" s="133" t="e">
        <f aca="false">R47+R53+R68+R76+R80+R81+R82+R83+R84+R92+R100+R103</f>
        <v>#VALUE!</v>
      </c>
      <c r="S105" s="133" t="e">
        <f aca="false">S47+S53+S68+S76+S80+S81+S82+S83+S84+S92+S100+S103</f>
        <v>#VALUE!</v>
      </c>
      <c r="T105" s="133" t="e">
        <f aca="false">T47+T53+T68+T76+T80+T81+T82+T83+T84+T92+T100+T103</f>
        <v>#VALUE!</v>
      </c>
      <c r="U105" s="133" t="e">
        <f aca="false">U47+U53+U68+U76+U80+U81+U82+U83+U84+U92+U100+U103</f>
        <v>#VALUE!</v>
      </c>
      <c r="V105" s="133" t="e">
        <f aca="false">V47+V53+V68+V76+V80+V81+V82+V83+V84+V92+V100+V103</f>
        <v>#VALUE!</v>
      </c>
      <c r="W105" s="133" t="e">
        <f aca="false">W47+W53+W68+W76+W80+W81+W82+W83+W84+W92+W100+W103</f>
        <v>#VALUE!</v>
      </c>
      <c r="X105" s="133" t="e">
        <f aca="false">X47+X53+X68+X76+X80+X81+X82+X83+X84+X92+X100+X103</f>
        <v>#VALUE!</v>
      </c>
      <c r="Y105" s="133" t="e">
        <f aca="false">Y47+Y53+Y68+Y76+Y80+Y81+Y82+Y83+Y84+Y92+Y100+Y103</f>
        <v>#VALUE!</v>
      </c>
      <c r="Z105" s="133" t="e">
        <f aca="false">Z47+Z53+Z68+Z76+Z80+Z81+Z82+Z83+Z84+Z92+Z100+Z103</f>
        <v>#VALUE!</v>
      </c>
      <c r="AA105" s="133" t="e">
        <f aca="false">AA47+AA53+AA68+AA76+AA80+AA81+AA82+AA83+AA84+AA92+AA100+AA103</f>
        <v>#VALUE!</v>
      </c>
      <c r="AB105" s="133" t="e">
        <f aca="false">AB47+AB53+AB68+AB76+AB80+AB81+AB82+AB83+AB84+AB92+AB100+AB103</f>
        <v>#VALUE!</v>
      </c>
      <c r="AC105" s="133" t="e">
        <f aca="false">AC47+AC53+AC68+AC76+AC80+AC81+AC82+AC83+AC84+AC92+AC100+AC103</f>
        <v>#VALUE!</v>
      </c>
      <c r="AD105" s="133" t="e">
        <f aca="false">AD47+AD53+AD68+AD76+AD80+AD81+AD82+AD83+AD84+AD92+AD100+AD103</f>
        <v>#VALUE!</v>
      </c>
      <c r="AE105" s="133" t="e">
        <f aca="false">AE47+AE53+AE68+AE76+AE80+AE81+AE82+AE83+AE84+AE92+AE100+AE103</f>
        <v>#VALUE!</v>
      </c>
      <c r="AF105" s="133" t="e">
        <f aca="false">AF47+AF53+AF68+AF76+AF80+AF81+AF82+AF83+AF84+AF92+AF100+AF103</f>
        <v>#VALUE!</v>
      </c>
      <c r="AG105" s="133" t="e">
        <f aca="false">AG47+AG53+AG68+AG76+AG80+AG81+AG82+AG83+AG84+AG92+AG100+AG103</f>
        <v>#VALUE!</v>
      </c>
      <c r="AH105" s="133" t="e">
        <f aca="false">AH47+AH53+AH68+AH76+AH80+AH81+AH82+AH83+AH84+AH92+AH100+AH103</f>
        <v>#VALUE!</v>
      </c>
      <c r="AI105" s="133" t="e">
        <f aca="false">AI47+AI53+AI68+AI76+AI80+AI81+AI82+AI83+AI84+AI92+AI100+AI103</f>
        <v>#VALUE!</v>
      </c>
      <c r="AJ105" s="133" t="e">
        <f aca="false">AJ47+AJ53+AJ68+AJ76+AJ80+AJ81+AJ82+AJ83+AJ84+AJ92+AJ100+AJ103</f>
        <v>#VALUE!</v>
      </c>
      <c r="AK105" s="133" t="e">
        <f aca="false">AK47+AK53+AK68+AK76+AK80+AK81+AK82+AK83+AK84+AK92+AK100+AK103</f>
        <v>#VALUE!</v>
      </c>
      <c r="AL105" s="133" t="e">
        <f aca="false">AL47+AL53+AL68+AL76+AL80+AL81+AL82+AL83+AL84+AL92+AL100+AL103</f>
        <v>#VALUE!</v>
      </c>
    </row>
    <row r="106" customFormat="false" ht="15" hidden="false" customHeight="false" outlineLevel="0" collapsed="false">
      <c r="C106" s="0" t="s">
        <v>251</v>
      </c>
      <c r="E106" s="0"/>
      <c r="H106" s="0"/>
      <c r="I106" s="134" t="e">
        <f aca="false">IF(ROUND(I105,2)&gt;=0,"ok","error")</f>
        <v>#VALUE!</v>
      </c>
      <c r="J106" s="134" t="e">
        <f aca="false">IF(ROUND(J105,2)&gt;=0,"ok","error")</f>
        <v>#VALUE!</v>
      </c>
      <c r="K106" s="134" t="e">
        <f aca="false">IF(ROUND(K105,2)&gt;=0,"ok","error")</f>
        <v>#VALUE!</v>
      </c>
      <c r="L106" s="134" t="e">
        <f aca="false">IF(ROUND(L105,2)&gt;=0,"ok","error")</f>
        <v>#VALUE!</v>
      </c>
      <c r="M106" s="134" t="e">
        <f aca="false">IF(ROUND(M105,2)&gt;=0,"ok","error")</f>
        <v>#VALUE!</v>
      </c>
      <c r="N106" s="134" t="e">
        <f aca="false">IF(ROUND(N105,2)&gt;=0,"ok","error")</f>
        <v>#VALUE!</v>
      </c>
      <c r="O106" s="134" t="e">
        <f aca="false">IF(ROUND(O105,2)&gt;=0,"ok","error")</f>
        <v>#VALUE!</v>
      </c>
      <c r="P106" s="134" t="e">
        <f aca="false">IF(ROUND(P105,2)&gt;=0,"ok","error")</f>
        <v>#VALUE!</v>
      </c>
      <c r="Q106" s="134" t="e">
        <f aca="false">IF(ROUND(Q105,2)&gt;=0,"ok","error")</f>
        <v>#VALUE!</v>
      </c>
      <c r="R106" s="134" t="e">
        <f aca="false">IF(ROUND(R105,2)&gt;=0,"ok","error")</f>
        <v>#VALUE!</v>
      </c>
      <c r="S106" s="134" t="e">
        <f aca="false">IF(ROUND(S105,2)&gt;=0,"ok","error")</f>
        <v>#VALUE!</v>
      </c>
      <c r="T106" s="134" t="e">
        <f aca="false">IF(ROUND(T105,2)&gt;=0,"ok","error")</f>
        <v>#VALUE!</v>
      </c>
      <c r="U106" s="134" t="e">
        <f aca="false">IF(ROUND(U105,2)&gt;=0,"ok","error")</f>
        <v>#VALUE!</v>
      </c>
      <c r="V106" s="134" t="e">
        <f aca="false">IF(ROUND(V105,2)&gt;=0,"ok","error")</f>
        <v>#VALUE!</v>
      </c>
      <c r="W106" s="134" t="e">
        <f aca="false">IF(ROUND(W105,2)&gt;=0,"ok","error")</f>
        <v>#VALUE!</v>
      </c>
      <c r="X106" s="134" t="e">
        <f aca="false">IF(ROUND(X105,2)&gt;=0,"ok","error")</f>
        <v>#VALUE!</v>
      </c>
      <c r="Y106" s="134" t="e">
        <f aca="false">IF(ROUND(Y105,2)&gt;=0,"ok","error")</f>
        <v>#VALUE!</v>
      </c>
      <c r="Z106" s="134" t="e">
        <f aca="false">IF(ROUND(Z105,2)&gt;=0,"ok","error")</f>
        <v>#VALUE!</v>
      </c>
      <c r="AA106" s="134" t="e">
        <f aca="false">IF(ROUND(AA105,2)&gt;=0,"ok","error")</f>
        <v>#VALUE!</v>
      </c>
      <c r="AB106" s="134" t="e">
        <f aca="false">IF(ROUND(AB105,2)&gt;=0,"ok","error")</f>
        <v>#VALUE!</v>
      </c>
      <c r="AC106" s="134" t="e">
        <f aca="false">IF(ROUND(AC105,2)&gt;=0,"ok","error")</f>
        <v>#VALUE!</v>
      </c>
      <c r="AD106" s="134" t="e">
        <f aca="false">IF(ROUND(AD105,2)&gt;=0,"ok","error")</f>
        <v>#VALUE!</v>
      </c>
      <c r="AE106" s="134" t="e">
        <f aca="false">IF(ROUND(AE105,2)&gt;=0,"ok","error")</f>
        <v>#VALUE!</v>
      </c>
      <c r="AF106" s="134" t="e">
        <f aca="false">IF(ROUND(AF105,2)&gt;=0,"ok","error")</f>
        <v>#VALUE!</v>
      </c>
      <c r="AG106" s="134" t="e">
        <f aca="false">IF(ROUND(AG105,2)&gt;=0,"ok","error")</f>
        <v>#VALUE!</v>
      </c>
      <c r="AH106" s="134" t="e">
        <f aca="false">IF(ROUND(AH105,2)&gt;=0,"ok","error")</f>
        <v>#VALUE!</v>
      </c>
      <c r="AI106" s="134" t="e">
        <f aca="false">IF(ROUND(AI105,2)&gt;=0,"ok","error")</f>
        <v>#VALUE!</v>
      </c>
      <c r="AJ106" s="134" t="e">
        <f aca="false">IF(ROUND(AJ105,2)&gt;=0,"ok","error")</f>
        <v>#VALUE!</v>
      </c>
      <c r="AK106" s="134" t="e">
        <f aca="false">IF(ROUND(AK105,2)&gt;=0,"ok","error")</f>
        <v>#VALUE!</v>
      </c>
      <c r="AL106" s="134" t="e">
        <f aca="false">IF(ROUND(AL105,2)&gt;=0,"ok","error")</f>
        <v>#VALUE!</v>
      </c>
    </row>
    <row r="107" customFormat="false" ht="15" hidden="false" customHeight="false" outlineLevel="0" collapsed="false">
      <c r="E107" s="0"/>
      <c r="G107" s="135"/>
      <c r="H107" s="0"/>
      <c r="I107" s="65"/>
      <c r="J107" s="65"/>
      <c r="K107" s="65"/>
      <c r="L107" s="65"/>
      <c r="M107" s="65"/>
      <c r="N107" s="65"/>
      <c r="O107" s="65"/>
      <c r="P107" s="65"/>
      <c r="Q107" s="65"/>
      <c r="R107" s="65"/>
      <c r="S107" s="65"/>
      <c r="T107" s="65"/>
      <c r="U107" s="65"/>
      <c r="V107" s="65"/>
      <c r="W107" s="65"/>
      <c r="X107" s="65"/>
      <c r="Y107" s="65"/>
      <c r="Z107" s="65"/>
      <c r="AA107" s="65"/>
      <c r="AB107" s="65"/>
      <c r="AC107" s="65"/>
    </row>
    <row r="108" s="30" customFormat="true" ht="16.9" hidden="false" customHeight="true" outlineLevel="0" collapsed="false">
      <c r="A108" s="30" t="n">
        <f aca="false">COUNT($A$6:A107)+1</f>
        <v>3</v>
      </c>
      <c r="C108" s="30" t="s">
        <v>263</v>
      </c>
      <c r="E108" s="31"/>
      <c r="H108" s="112"/>
    </row>
    <row r="109" customFormat="false" ht="15" hidden="false" customHeight="false" outlineLevel="0" collapsed="false">
      <c r="E109" s="0"/>
      <c r="H109" s="0"/>
    </row>
    <row r="110" customFormat="false" ht="15" hidden="false" customHeight="false" outlineLevel="0" collapsed="false">
      <c r="C110" s="6" t="s">
        <v>264</v>
      </c>
      <c r="E110" s="0"/>
      <c r="H110" s="0"/>
      <c r="I110" s="65" t="e">
        <f aca="false">-I72*(Mezz_Loan_Type="shareholder")-I71*(Bank_as_SH_Loan="yes")</f>
        <v>#VALUE!</v>
      </c>
      <c r="J110" s="65" t="e">
        <f aca="false">-J72*(Mezz_Loan_Type="shareholder")-J71*(Bank_as_SH_Loan="yes")</f>
        <v>#VALUE!</v>
      </c>
      <c r="K110" s="65" t="e">
        <f aca="false">-K72*(Mezz_Loan_Type="shareholder")-K71*(Bank_as_SH_Loan="yes")</f>
        <v>#VALUE!</v>
      </c>
      <c r="L110" s="65" t="e">
        <f aca="false">-L72*(Mezz_Loan_Type="shareholder")-L71*(Bank_as_SH_Loan="yes")</f>
        <v>#VALUE!</v>
      </c>
      <c r="M110" s="65" t="e">
        <f aca="false">-M72*(Mezz_Loan_Type="shareholder")-M71*(Bank_as_SH_Loan="yes")</f>
        <v>#VALUE!</v>
      </c>
      <c r="N110" s="65" t="e">
        <f aca="false">-N72*(Mezz_Loan_Type="shareholder")-N71*(Bank_as_SH_Loan="yes")</f>
        <v>#VALUE!</v>
      </c>
      <c r="O110" s="65" t="e">
        <f aca="false">-O72*(Mezz_Loan_Type="shareholder")-O71*(Bank_as_SH_Loan="yes")</f>
        <v>#VALUE!</v>
      </c>
      <c r="P110" s="65" t="e">
        <f aca="false">-P72*(Mezz_Loan_Type="shareholder")-P71*(Bank_as_SH_Loan="yes")</f>
        <v>#VALUE!</v>
      </c>
      <c r="Q110" s="65" t="e">
        <f aca="false">-Q72*(Mezz_Loan_Type="shareholder")-Q71*(Bank_as_SH_Loan="yes")</f>
        <v>#VALUE!</v>
      </c>
      <c r="R110" s="65" t="e">
        <f aca="false">-R72*(Mezz_Loan_Type="shareholder")-R71*(Bank_as_SH_Loan="yes")</f>
        <v>#VALUE!</v>
      </c>
      <c r="S110" s="65" t="e">
        <f aca="false">-S72*(Mezz_Loan_Type="shareholder")-S71*(Bank_as_SH_Loan="yes")</f>
        <v>#VALUE!</v>
      </c>
      <c r="T110" s="65" t="e">
        <f aca="false">-T72*(Mezz_Loan_Type="shareholder")-T71*(Bank_as_SH_Loan="yes")</f>
        <v>#VALUE!</v>
      </c>
      <c r="U110" s="65" t="e">
        <f aca="false">-U72*(Mezz_Loan_Type="shareholder")-U71*(Bank_as_SH_Loan="yes")</f>
        <v>#VALUE!</v>
      </c>
      <c r="V110" s="65" t="e">
        <f aca="false">-V72*(Mezz_Loan_Type="shareholder")-V71*(Bank_as_SH_Loan="yes")</f>
        <v>#VALUE!</v>
      </c>
      <c r="W110" s="65" t="e">
        <f aca="false">-W72*(Mezz_Loan_Type="shareholder")-W71*(Bank_as_SH_Loan="yes")</f>
        <v>#VALUE!</v>
      </c>
      <c r="X110" s="65" t="e">
        <f aca="false">-X72*(Mezz_Loan_Type="shareholder")-X71*(Bank_as_SH_Loan="yes")</f>
        <v>#VALUE!</v>
      </c>
      <c r="Y110" s="65" t="e">
        <f aca="false">-Y72*(Mezz_Loan_Type="shareholder")-Y71*(Bank_as_SH_Loan="yes")</f>
        <v>#VALUE!</v>
      </c>
      <c r="Z110" s="65" t="e">
        <f aca="false">-Z72*(Mezz_Loan_Type="shareholder")-Z71*(Bank_as_SH_Loan="yes")</f>
        <v>#VALUE!</v>
      </c>
      <c r="AA110" s="65" t="e">
        <f aca="false">-AA72*(Mezz_Loan_Type="shareholder")-AA71*(Bank_as_SH_Loan="yes")</f>
        <v>#VALUE!</v>
      </c>
      <c r="AB110" s="65" t="e">
        <f aca="false">-AB72*(Mezz_Loan_Type="shareholder")-AB71*(Bank_as_SH_Loan="yes")</f>
        <v>#VALUE!</v>
      </c>
      <c r="AC110" s="65" t="e">
        <f aca="false">-AC72*(Mezz_Loan_Type="shareholder")-AC71*(Bank_as_SH_Loan="yes")</f>
        <v>#VALUE!</v>
      </c>
      <c r="AD110" s="65" t="e">
        <f aca="false">-AD72*(Mezz_Loan_Type="shareholder")-AD71*(Bank_as_SH_Loan="yes")</f>
        <v>#VALUE!</v>
      </c>
      <c r="AE110" s="65" t="e">
        <f aca="false">-AE72*(Mezz_Loan_Type="shareholder")-AE71*(Bank_as_SH_Loan="yes")</f>
        <v>#VALUE!</v>
      </c>
      <c r="AF110" s="65" t="e">
        <f aca="false">-AF72*(Mezz_Loan_Type="shareholder")-AF71*(Bank_as_SH_Loan="yes")</f>
        <v>#VALUE!</v>
      </c>
      <c r="AG110" s="65" t="e">
        <f aca="false">-AG72*(Mezz_Loan_Type="shareholder")-AG71*(Bank_as_SH_Loan="yes")</f>
        <v>#VALUE!</v>
      </c>
      <c r="AH110" s="65" t="e">
        <f aca="false">-AH72*(Mezz_Loan_Type="shareholder")-AH71*(Bank_as_SH_Loan="yes")</f>
        <v>#VALUE!</v>
      </c>
      <c r="AI110" s="65" t="e">
        <f aca="false">-AI72*(Mezz_Loan_Type="shareholder")-AI71*(Bank_as_SH_Loan="yes")</f>
        <v>#VALUE!</v>
      </c>
      <c r="AJ110" s="65" t="e">
        <f aca="false">-AJ72*(Mezz_Loan_Type="shareholder")-AJ71*(Bank_as_SH_Loan="yes")</f>
        <v>#VALUE!</v>
      </c>
      <c r="AK110" s="65" t="e">
        <f aca="false">-AK72*(Mezz_Loan_Type="shareholder")-AK71*(Bank_as_SH_Loan="yes")</f>
        <v>#VALUE!</v>
      </c>
      <c r="AL110" s="65" t="e">
        <f aca="false">-AL72*(Mezz_Loan_Type="shareholder")-AL71*(Bank_as_SH_Loan="yes")</f>
        <v>#VALUE!</v>
      </c>
    </row>
    <row r="111" customFormat="false" ht="15" hidden="false" customHeight="false" outlineLevel="0" collapsed="false">
      <c r="C111" s="6" t="s">
        <v>265</v>
      </c>
      <c r="E111" s="0"/>
      <c r="H111" s="0"/>
      <c r="I111" s="65" t="e">
        <f aca="false">-(I73)</f>
        <v>#VALUE!</v>
      </c>
      <c r="J111" s="65" t="e">
        <f aca="false">-(J73)</f>
        <v>#VALUE!</v>
      </c>
      <c r="K111" s="65" t="e">
        <f aca="false">-(K73)</f>
        <v>#VALUE!</v>
      </c>
      <c r="L111" s="65" t="e">
        <f aca="false">-(L73)</f>
        <v>#VALUE!</v>
      </c>
      <c r="M111" s="65" t="e">
        <f aca="false">-(M73)</f>
        <v>#VALUE!</v>
      </c>
      <c r="N111" s="65" t="e">
        <f aca="false">-(N73)</f>
        <v>#VALUE!</v>
      </c>
      <c r="O111" s="65" t="e">
        <f aca="false">-(O73)</f>
        <v>#VALUE!</v>
      </c>
      <c r="P111" s="65" t="e">
        <f aca="false">-(P73)</f>
        <v>#VALUE!</v>
      </c>
      <c r="Q111" s="65" t="e">
        <f aca="false">-(Q73)</f>
        <v>#VALUE!</v>
      </c>
      <c r="R111" s="65" t="e">
        <f aca="false">-(R73)</f>
        <v>#VALUE!</v>
      </c>
      <c r="S111" s="65" t="e">
        <f aca="false">-(S73)</f>
        <v>#VALUE!</v>
      </c>
      <c r="T111" s="65" t="e">
        <f aca="false">-(T73)</f>
        <v>#VALUE!</v>
      </c>
      <c r="U111" s="65" t="e">
        <f aca="false">-(U73)</f>
        <v>#VALUE!</v>
      </c>
      <c r="V111" s="65" t="e">
        <f aca="false">-(V73)</f>
        <v>#VALUE!</v>
      </c>
      <c r="W111" s="65" t="e">
        <f aca="false">-(W73)</f>
        <v>#VALUE!</v>
      </c>
      <c r="X111" s="65" t="e">
        <f aca="false">-(X73)</f>
        <v>#VALUE!</v>
      </c>
      <c r="Y111" s="65" t="e">
        <f aca="false">-(Y73)</f>
        <v>#VALUE!</v>
      </c>
      <c r="Z111" s="65" t="e">
        <f aca="false">-(Z73)</f>
        <v>#VALUE!</v>
      </c>
      <c r="AA111" s="65" t="e">
        <f aca="false">-(AA73)</f>
        <v>#VALUE!</v>
      </c>
      <c r="AB111" s="65" t="e">
        <f aca="false">-(AB73)</f>
        <v>#VALUE!</v>
      </c>
      <c r="AC111" s="65" t="e">
        <f aca="false">-(AC73)</f>
        <v>#VALUE!</v>
      </c>
      <c r="AD111" s="65" t="e">
        <f aca="false">-(AD73)</f>
        <v>#VALUE!</v>
      </c>
      <c r="AE111" s="65" t="e">
        <f aca="false">-(AE73)</f>
        <v>#VALUE!</v>
      </c>
      <c r="AF111" s="65" t="e">
        <f aca="false">-(AF73)</f>
        <v>#VALUE!</v>
      </c>
      <c r="AG111" s="65" t="e">
        <f aca="false">-(AG73)</f>
        <v>#VALUE!</v>
      </c>
      <c r="AH111" s="65" t="e">
        <f aca="false">-(AH73)</f>
        <v>#VALUE!</v>
      </c>
      <c r="AI111" s="65" t="e">
        <f aca="false">-(AI73)</f>
        <v>#VALUE!</v>
      </c>
      <c r="AJ111" s="65" t="e">
        <f aca="false">-(AJ73)</f>
        <v>#VALUE!</v>
      </c>
      <c r="AK111" s="65" t="e">
        <f aca="false">-(AK73)</f>
        <v>#VALUE!</v>
      </c>
      <c r="AL111" s="65" t="e">
        <f aca="false">-(AL73)</f>
        <v>#VALUE!</v>
      </c>
    </row>
    <row r="112" customFormat="false" ht="15" hidden="false" customHeight="false" outlineLevel="0" collapsed="false">
      <c r="C112" s="6" t="s">
        <v>266</v>
      </c>
      <c r="E112" s="0"/>
      <c r="H112" s="0"/>
      <c r="I112" s="65" t="e">
        <f aca="false">-(I75)</f>
        <v>#NAME?</v>
      </c>
      <c r="J112" s="65" t="e">
        <f aca="false">-(J75)</f>
        <v>#NAME?</v>
      </c>
      <c r="K112" s="65" t="e">
        <f aca="false">-(K75)</f>
        <v>#NAME?</v>
      </c>
      <c r="L112" s="65" t="e">
        <f aca="false">-(L75)</f>
        <v>#NAME?</v>
      </c>
      <c r="M112" s="65" t="e">
        <f aca="false">-(M75)</f>
        <v>#NAME?</v>
      </c>
      <c r="N112" s="65" t="e">
        <f aca="false">-(N75)</f>
        <v>#NAME?</v>
      </c>
      <c r="O112" s="65" t="e">
        <f aca="false">-(O75)</f>
        <v>#NAME?</v>
      </c>
      <c r="P112" s="65" t="e">
        <f aca="false">-(P75)</f>
        <v>#NAME?</v>
      </c>
      <c r="Q112" s="65" t="e">
        <f aca="false">-(Q75)</f>
        <v>#NAME?</v>
      </c>
      <c r="R112" s="65" t="e">
        <f aca="false">-(R75)</f>
        <v>#NAME?</v>
      </c>
      <c r="S112" s="65" t="e">
        <f aca="false">-(S75)</f>
        <v>#NAME?</v>
      </c>
      <c r="T112" s="65" t="e">
        <f aca="false">-(T75)</f>
        <v>#NAME?</v>
      </c>
      <c r="U112" s="65" t="e">
        <f aca="false">-(U75)</f>
        <v>#NAME?</v>
      </c>
      <c r="V112" s="65" t="e">
        <f aca="false">-(V75)</f>
        <v>#NAME?</v>
      </c>
      <c r="W112" s="65" t="e">
        <f aca="false">-(W75)</f>
        <v>#NAME?</v>
      </c>
      <c r="X112" s="65" t="e">
        <f aca="false">-(X75)</f>
        <v>#NAME?</v>
      </c>
      <c r="Y112" s="65" t="e">
        <f aca="false">-(Y75)</f>
        <v>#NAME?</v>
      </c>
      <c r="Z112" s="65" t="e">
        <f aca="false">-(Z75)</f>
        <v>#NAME?</v>
      </c>
      <c r="AA112" s="65" t="e">
        <f aca="false">-(AA75)</f>
        <v>#NAME?</v>
      </c>
      <c r="AB112" s="65" t="e">
        <f aca="false">-(AB75)</f>
        <v>#NAME?</v>
      </c>
      <c r="AC112" s="65" t="e">
        <f aca="false">-(AC75)</f>
        <v>#NAME?</v>
      </c>
      <c r="AD112" s="65" t="e">
        <f aca="false">-(AD75)</f>
        <v>#NAME?</v>
      </c>
      <c r="AE112" s="65" t="e">
        <f aca="false">-(AE75)</f>
        <v>#NAME?</v>
      </c>
      <c r="AF112" s="65" t="e">
        <f aca="false">-(AF75)</f>
        <v>#NAME?</v>
      </c>
      <c r="AG112" s="65" t="e">
        <f aca="false">-(AG75)</f>
        <v>#NAME?</v>
      </c>
      <c r="AH112" s="65" t="e">
        <f aca="false">-(AH75)</f>
        <v>#NAME?</v>
      </c>
      <c r="AI112" s="65" t="e">
        <f aca="false">-(AI75)</f>
        <v>#NAME?</v>
      </c>
      <c r="AJ112" s="65" t="e">
        <f aca="false">-(AJ75)</f>
        <v>#NAME?</v>
      </c>
      <c r="AK112" s="65" t="e">
        <f aca="false">-(AK75)</f>
        <v>#NAME?</v>
      </c>
      <c r="AL112" s="65" t="e">
        <f aca="false">-(AL75)</f>
        <v>#NAME?</v>
      </c>
    </row>
    <row r="113" customFormat="false" ht="15" hidden="false" customHeight="false" outlineLevel="0" collapsed="false">
      <c r="C113" s="6" t="s">
        <v>267</v>
      </c>
      <c r="E113" s="0"/>
      <c r="H113" s="0"/>
      <c r="I113" s="65" t="n">
        <f aca="false">-Dev_premium_before_COD*I9-Dev_premium_after_COD*H9</f>
        <v>-0</v>
      </c>
      <c r="J113" s="65" t="n">
        <f aca="false">-Dev_premium_before_COD*J9-Dev_premium_after_COD*I9</f>
        <v>-0</v>
      </c>
      <c r="K113" s="65" t="n">
        <f aca="false">-Dev_premium_before_COD*K9-Dev_premium_after_COD*J9</f>
        <v>-0</v>
      </c>
      <c r="L113" s="65" t="n">
        <f aca="false">-Dev_premium_before_COD*L9-Dev_premium_after_COD*K9</f>
        <v>-0</v>
      </c>
      <c r="M113" s="65" t="n">
        <f aca="false">-Dev_premium_before_COD*M9-Dev_premium_after_COD*L9</f>
        <v>-0</v>
      </c>
      <c r="N113" s="65" t="n">
        <f aca="false">-Dev_premium_before_COD*N9-Dev_premium_after_COD*M9</f>
        <v>-0</v>
      </c>
      <c r="O113" s="65" t="n">
        <f aca="false">-Dev_premium_before_COD*O9-Dev_premium_after_COD*N9</f>
        <v>-0</v>
      </c>
      <c r="P113" s="65" t="n">
        <f aca="false">-Dev_premium_before_COD*P9-Dev_premium_after_COD*O9</f>
        <v>-0</v>
      </c>
      <c r="Q113" s="65" t="n">
        <f aca="false">-Dev_premium_before_COD*Q9-Dev_premium_after_COD*P9</f>
        <v>-0</v>
      </c>
      <c r="R113" s="65" t="n">
        <f aca="false">-Dev_premium_before_COD*R9-Dev_premium_after_COD*Q9</f>
        <v>-0</v>
      </c>
      <c r="S113" s="65" t="n">
        <f aca="false">-Dev_premium_before_COD*S9-Dev_premium_after_COD*R9</f>
        <v>-0</v>
      </c>
      <c r="T113" s="65" t="n">
        <f aca="false">-Dev_premium_before_COD*T9-Dev_premium_after_COD*S9</f>
        <v>-0</v>
      </c>
      <c r="U113" s="65" t="n">
        <f aca="false">-Dev_premium_before_COD*U9-Dev_premium_after_COD*T9</f>
        <v>-0</v>
      </c>
      <c r="V113" s="65" t="n">
        <f aca="false">-Dev_premium_before_COD*V9-Dev_premium_after_COD*U9</f>
        <v>-0</v>
      </c>
      <c r="W113" s="65" t="n">
        <f aca="false">-Dev_premium_before_COD*W9-Dev_premium_after_COD*V9</f>
        <v>-0</v>
      </c>
      <c r="X113" s="65" t="n">
        <f aca="false">-Dev_premium_before_COD*X9-Dev_premium_after_COD*W9</f>
        <v>-0</v>
      </c>
      <c r="Y113" s="65" t="n">
        <f aca="false">-Dev_premium_before_COD*Y9-Dev_premium_after_COD*X9</f>
        <v>-0</v>
      </c>
      <c r="Z113" s="65" t="n">
        <f aca="false">-Dev_premium_before_COD*Z9-Dev_premium_after_COD*Y9</f>
        <v>-0</v>
      </c>
      <c r="AA113" s="65" t="n">
        <f aca="false">-Dev_premium_before_COD*AA9-Dev_premium_after_COD*Z9</f>
        <v>-0</v>
      </c>
      <c r="AB113" s="65" t="n">
        <f aca="false">-Dev_premium_before_COD*AB9-Dev_premium_after_COD*AA9</f>
        <v>-0</v>
      </c>
      <c r="AC113" s="65" t="n">
        <f aca="false">-Dev_premium_before_COD*AC9-Dev_premium_after_COD*AB9</f>
        <v>-0</v>
      </c>
      <c r="AD113" s="65" t="n">
        <f aca="false">-Dev_premium_before_COD*AD9-Dev_premium_after_COD*AC9</f>
        <v>-0</v>
      </c>
      <c r="AE113" s="65" t="n">
        <f aca="false">-Dev_premium_before_COD*AE9-Dev_premium_after_COD*AD9</f>
        <v>-0</v>
      </c>
      <c r="AF113" s="65" t="n">
        <f aca="false">-Dev_premium_before_COD*AF9-Dev_premium_after_COD*AE9</f>
        <v>-0</v>
      </c>
      <c r="AG113" s="65" t="n">
        <f aca="false">-Dev_premium_before_COD*AG9-Dev_premium_after_COD*AF9</f>
        <v>-0</v>
      </c>
      <c r="AH113" s="65" t="n">
        <f aca="false">-Dev_premium_before_COD*AH9-Dev_premium_after_COD*AG9</f>
        <v>-0</v>
      </c>
      <c r="AI113" s="65" t="n">
        <f aca="false">-Dev_premium_before_COD*AI9-Dev_premium_after_COD*AH9</f>
        <v>-0</v>
      </c>
      <c r="AJ113" s="65" t="n">
        <f aca="false">-Dev_premium_before_COD*AJ9-Dev_premium_after_COD*AI9</f>
        <v>-0</v>
      </c>
      <c r="AK113" s="65" t="n">
        <f aca="false">-Dev_premium_before_COD*AK9-Dev_premium_after_COD*AJ9</f>
        <v>-0</v>
      </c>
      <c r="AL113" s="65" t="n">
        <f aca="false">-Dev_premium_before_COD*AL9-Dev_premium_after_COD*AK9</f>
        <v>-0</v>
      </c>
    </row>
    <row r="114" customFormat="false" ht="15" hidden="false" customHeight="false" outlineLevel="0" collapsed="false">
      <c r="C114" s="6" t="s">
        <v>268</v>
      </c>
      <c r="E114" s="0"/>
      <c r="H114" s="0"/>
      <c r="I114" s="65" t="e">
        <f aca="false">H9*Developer_Fee*(Funding!$H$22+Equity_stepdown*(Equity_stepdown_duration&lt;I8))</f>
        <v>#VALUE!</v>
      </c>
      <c r="J114" s="65" t="e">
        <f aca="false">I9*Developer_Fee*(Funding!$H$22+Equity_stepdown*(Equity_stepdown_duration&lt;J8))</f>
        <v>#VALUE!</v>
      </c>
      <c r="K114" s="65" t="e">
        <f aca="false">J9*Developer_Fee*(Funding!$H$22+Equity_stepdown*(Equity_stepdown_duration&lt;K8))</f>
        <v>#VALUE!</v>
      </c>
      <c r="L114" s="65" t="e">
        <f aca="false">K9*Developer_Fee*(Funding!$H$22+Equity_stepdown*(Equity_stepdown_duration&lt;L8))</f>
        <v>#VALUE!</v>
      </c>
      <c r="M114" s="65" t="e">
        <f aca="false">L9*Developer_Fee*(Funding!$H$22+Equity_stepdown*(Equity_stepdown_duration&lt;M8))</f>
        <v>#VALUE!</v>
      </c>
      <c r="N114" s="65" t="e">
        <f aca="false">M9*Developer_Fee*(Funding!$H$22+Equity_stepdown*(Equity_stepdown_duration&lt;N8))</f>
        <v>#VALUE!</v>
      </c>
      <c r="O114" s="65" t="e">
        <f aca="false">N9*Developer_Fee*(Funding!$H$22+Equity_stepdown*(Equity_stepdown_duration&lt;O8))</f>
        <v>#VALUE!</v>
      </c>
      <c r="P114" s="65" t="e">
        <f aca="false">O9*Developer_Fee*(Funding!$H$22+Equity_stepdown*(Equity_stepdown_duration&lt;P8))</f>
        <v>#VALUE!</v>
      </c>
      <c r="Q114" s="65" t="e">
        <f aca="false">P9*Developer_Fee*(Funding!$H$22+Equity_stepdown*(Equity_stepdown_duration&lt;Q8))</f>
        <v>#VALUE!</v>
      </c>
      <c r="R114" s="65" t="e">
        <f aca="false">Q9*Developer_Fee*(Funding!$H$22+Equity_stepdown*(Equity_stepdown_duration&lt;R8))</f>
        <v>#VALUE!</v>
      </c>
      <c r="S114" s="65" t="e">
        <f aca="false">R9*Developer_Fee*(Funding!$H$22+Equity_stepdown*(Equity_stepdown_duration&lt;S8))</f>
        <v>#VALUE!</v>
      </c>
      <c r="T114" s="65" t="e">
        <f aca="false">S9*Developer_Fee*(Funding!$H$22+Equity_stepdown*(Equity_stepdown_duration&lt;T8))</f>
        <v>#VALUE!</v>
      </c>
      <c r="U114" s="65" t="e">
        <f aca="false">T9*Developer_Fee*(Funding!$H$22+Equity_stepdown*(Equity_stepdown_duration&lt;U8))</f>
        <v>#VALUE!</v>
      </c>
      <c r="V114" s="65" t="e">
        <f aca="false">U9*Developer_Fee*(Funding!$H$22+Equity_stepdown*(Equity_stepdown_duration&lt;V8))</f>
        <v>#VALUE!</v>
      </c>
      <c r="W114" s="65" t="e">
        <f aca="false">V9*Developer_Fee*(Funding!$H$22+Equity_stepdown*(Equity_stepdown_duration&lt;W8))</f>
        <v>#VALUE!</v>
      </c>
      <c r="X114" s="65" t="e">
        <f aca="false">W9*Developer_Fee*(Funding!$H$22+Equity_stepdown*(Equity_stepdown_duration&lt;X8))</f>
        <v>#VALUE!</v>
      </c>
      <c r="Y114" s="65" t="e">
        <f aca="false">X9*Developer_Fee*(Funding!$H$22+Equity_stepdown*(Equity_stepdown_duration&lt;Y8))</f>
        <v>#VALUE!</v>
      </c>
      <c r="Z114" s="65" t="e">
        <f aca="false">Y9*Developer_Fee*(Funding!$H$22+Equity_stepdown*(Equity_stepdown_duration&lt;Z8))</f>
        <v>#VALUE!</v>
      </c>
      <c r="AA114" s="65" t="e">
        <f aca="false">Z9*Developer_Fee*(Funding!$H$22+Equity_stepdown*(Equity_stepdown_duration&lt;AA8))</f>
        <v>#VALUE!</v>
      </c>
      <c r="AB114" s="65" t="e">
        <f aca="false">AA9*Developer_Fee*(Funding!$H$22+Equity_stepdown*(Equity_stepdown_duration&lt;AB8))</f>
        <v>#VALUE!</v>
      </c>
      <c r="AC114" s="65" t="e">
        <f aca="false">AB9*Developer_Fee*(Funding!$H$22+Equity_stepdown*(Equity_stepdown_duration&lt;AC8))</f>
        <v>#VALUE!</v>
      </c>
      <c r="AD114" s="65" t="e">
        <f aca="false">AC9*Developer_Fee*(Funding!$H$22+Equity_stepdown*(Equity_stepdown_duration&lt;AD8))</f>
        <v>#VALUE!</v>
      </c>
      <c r="AE114" s="65" t="e">
        <f aca="false">AD9*Developer_Fee*(Funding!$H$22+Equity_stepdown*(Equity_stepdown_duration&lt;AE8))</f>
        <v>#VALUE!</v>
      </c>
      <c r="AF114" s="65" t="e">
        <f aca="false">AE9*Developer_Fee*(Funding!$H$22+Equity_stepdown*(Equity_stepdown_duration&lt;AF8))</f>
        <v>#VALUE!</v>
      </c>
      <c r="AG114" s="65" t="e">
        <f aca="false">AF9*Developer_Fee*(Funding!$H$22+Equity_stepdown*(Equity_stepdown_duration&lt;AG8))</f>
        <v>#VALUE!</v>
      </c>
      <c r="AH114" s="65" t="e">
        <f aca="false">AG9*Developer_Fee*(Funding!$H$22+Equity_stepdown*(Equity_stepdown_duration&lt;AH8))</f>
        <v>#VALUE!</v>
      </c>
      <c r="AI114" s="65" t="e">
        <f aca="false">AH9*Developer_Fee*(Funding!$H$22+Equity_stepdown*(Equity_stepdown_duration&lt;AI8))</f>
        <v>#VALUE!</v>
      </c>
      <c r="AJ114" s="65" t="e">
        <f aca="false">AI9*Developer_Fee*(Funding!$H$22+Equity_stepdown*(Equity_stepdown_duration&lt;AJ8))</f>
        <v>#VALUE!</v>
      </c>
      <c r="AK114" s="65" t="e">
        <f aca="false">AJ9*Developer_Fee*(Funding!$H$22+Equity_stepdown*(Equity_stepdown_duration&lt;AK8))</f>
        <v>#VALUE!</v>
      </c>
      <c r="AL114" s="65" t="e">
        <f aca="false">AK9*Developer_Fee*(Funding!$H$22+Equity_stepdown*(Equity_stepdown_duration&lt;AL8))</f>
        <v>#VALUE!</v>
      </c>
    </row>
    <row r="115" customFormat="false" ht="15" hidden="false" customHeight="false" outlineLevel="0" collapsed="false">
      <c r="C115" s="0" t="s">
        <v>269</v>
      </c>
      <c r="E115" s="0"/>
      <c r="H115" s="0"/>
      <c r="I115" s="65" t="e">
        <f aca="false">-Funding!I129*(Mezz_Loan_Type="shareholder")-Funding!I73*(Bank_as_SH_Loan="yes")</f>
        <v>#VALUE!</v>
      </c>
      <c r="J115" s="65" t="e">
        <f aca="false">-Funding!J129*(Mezz_Loan_Type="shareholder")-Funding!J73*(Bank_as_SH_Loan="yes")</f>
        <v>#VALUE!</v>
      </c>
      <c r="K115" s="65" t="e">
        <f aca="false">-Funding!K129*(Mezz_Loan_Type="shareholder")-Funding!K73*(Bank_as_SH_Loan="yes")</f>
        <v>#VALUE!</v>
      </c>
      <c r="L115" s="65" t="e">
        <f aca="false">-Funding!L129*(Mezz_Loan_Type="shareholder")-Funding!L73*(Bank_as_SH_Loan="yes")</f>
        <v>#VALUE!</v>
      </c>
      <c r="M115" s="65" t="e">
        <f aca="false">-Funding!M129*(Mezz_Loan_Type="shareholder")-Funding!M73*(Bank_as_SH_Loan="yes")</f>
        <v>#VALUE!</v>
      </c>
      <c r="N115" s="65" t="e">
        <f aca="false">-Funding!N129*(Mezz_Loan_Type="shareholder")-Funding!N73*(Bank_as_SH_Loan="yes")</f>
        <v>#VALUE!</v>
      </c>
      <c r="O115" s="65" t="e">
        <f aca="false">-Funding!O129*(Mezz_Loan_Type="shareholder")-Funding!O73*(Bank_as_SH_Loan="yes")</f>
        <v>#VALUE!</v>
      </c>
      <c r="P115" s="65" t="e">
        <f aca="false">-Funding!P129*(Mezz_Loan_Type="shareholder")-Funding!P73*(Bank_as_SH_Loan="yes")</f>
        <v>#VALUE!</v>
      </c>
      <c r="Q115" s="65" t="e">
        <f aca="false">-Funding!Q129*(Mezz_Loan_Type="shareholder")-Funding!Q73*(Bank_as_SH_Loan="yes")</f>
        <v>#VALUE!</v>
      </c>
      <c r="R115" s="65" t="e">
        <f aca="false">-Funding!R129*(Mezz_Loan_Type="shareholder")-Funding!R73*(Bank_as_SH_Loan="yes")</f>
        <v>#VALUE!</v>
      </c>
      <c r="S115" s="65" t="e">
        <f aca="false">-Funding!S129*(Mezz_Loan_Type="shareholder")-Funding!S73*(Bank_as_SH_Loan="yes")</f>
        <v>#VALUE!</v>
      </c>
      <c r="T115" s="65" t="e">
        <f aca="false">-Funding!T129*(Mezz_Loan_Type="shareholder")-Funding!T73*(Bank_as_SH_Loan="yes")</f>
        <v>#VALUE!</v>
      </c>
      <c r="U115" s="65" t="e">
        <f aca="false">-Funding!U129*(Mezz_Loan_Type="shareholder")-Funding!U73*(Bank_as_SH_Loan="yes")</f>
        <v>#VALUE!</v>
      </c>
      <c r="V115" s="65" t="e">
        <f aca="false">-Funding!V129*(Mezz_Loan_Type="shareholder")-Funding!V73*(Bank_as_SH_Loan="yes")</f>
        <v>#VALUE!</v>
      </c>
      <c r="W115" s="65" t="e">
        <f aca="false">-Funding!W129*(Mezz_Loan_Type="shareholder")-Funding!W73*(Bank_as_SH_Loan="yes")</f>
        <v>#VALUE!</v>
      </c>
      <c r="X115" s="65" t="e">
        <f aca="false">-Funding!X129*(Mezz_Loan_Type="shareholder")-Funding!X73*(Bank_as_SH_Loan="yes")</f>
        <v>#VALUE!</v>
      </c>
      <c r="Y115" s="65" t="e">
        <f aca="false">-Funding!Y129*(Mezz_Loan_Type="shareholder")-Funding!Y73*(Bank_as_SH_Loan="yes")</f>
        <v>#VALUE!</v>
      </c>
      <c r="Z115" s="65" t="e">
        <f aca="false">-Funding!Z129*(Mezz_Loan_Type="shareholder")-Funding!Z73*(Bank_as_SH_Loan="yes")</f>
        <v>#VALUE!</v>
      </c>
      <c r="AA115" s="65" t="e">
        <f aca="false">-Funding!AA129*(Mezz_Loan_Type="shareholder")-Funding!AA73*(Bank_as_SH_Loan="yes")</f>
        <v>#VALUE!</v>
      </c>
      <c r="AB115" s="65" t="e">
        <f aca="false">-Funding!AB129*(Mezz_Loan_Type="shareholder")-Funding!AB73*(Bank_as_SH_Loan="yes")</f>
        <v>#VALUE!</v>
      </c>
      <c r="AC115" s="65" t="e">
        <f aca="false">-Funding!AC129*(Mezz_Loan_Type="shareholder")-Funding!AC73*(Bank_as_SH_Loan="yes")</f>
        <v>#VALUE!</v>
      </c>
      <c r="AD115" s="65" t="e">
        <f aca="false">-Funding!AD129*(Mezz_Loan_Type="shareholder")-Funding!AD73*(Bank_as_SH_Loan="yes")</f>
        <v>#VALUE!</v>
      </c>
      <c r="AE115" s="65" t="e">
        <f aca="false">-Funding!AE129*(Mezz_Loan_Type="shareholder")-Funding!AE73*(Bank_as_SH_Loan="yes")</f>
        <v>#VALUE!</v>
      </c>
      <c r="AF115" s="65" t="e">
        <f aca="false">-Funding!AF129*(Mezz_Loan_Type="shareholder")-Funding!AF73*(Bank_as_SH_Loan="yes")</f>
        <v>#VALUE!</v>
      </c>
      <c r="AG115" s="65" t="e">
        <f aca="false">-Funding!AG129*(Mezz_Loan_Type="shareholder")-Funding!AG73*(Bank_as_SH_Loan="yes")</f>
        <v>#VALUE!</v>
      </c>
      <c r="AH115" s="65" t="e">
        <f aca="false">-Funding!AH129*(Mezz_Loan_Type="shareholder")-Funding!AH73*(Bank_as_SH_Loan="yes")</f>
        <v>#VALUE!</v>
      </c>
      <c r="AI115" s="65" t="e">
        <f aca="false">-Funding!AI129*(Mezz_Loan_Type="shareholder")-Funding!AI73*(Bank_as_SH_Loan="yes")</f>
        <v>#VALUE!</v>
      </c>
      <c r="AJ115" s="65" t="e">
        <f aca="false">-Funding!AJ129*(Mezz_Loan_Type="shareholder")-Funding!AJ73*(Bank_as_SH_Loan="yes")</f>
        <v>#VALUE!</v>
      </c>
      <c r="AK115" s="65" t="e">
        <f aca="false">-Funding!AK129*(Mezz_Loan_Type="shareholder")-Funding!AK73*(Bank_as_SH_Loan="yes")</f>
        <v>#VALUE!</v>
      </c>
      <c r="AL115" s="65" t="e">
        <f aca="false">-Funding!AL129*(Mezz_Loan_Type="shareholder")-Funding!AL73*(Bank_as_SH_Loan="yes")</f>
        <v>#VALUE!</v>
      </c>
    </row>
    <row r="116" customFormat="false" ht="15" hidden="false" customHeight="false" outlineLevel="0" collapsed="false">
      <c r="C116" s="0" t="s">
        <v>270</v>
      </c>
      <c r="E116" s="0"/>
      <c r="H116" s="0"/>
      <c r="I116" s="65" t="n">
        <f aca="false">-Funding!I130*(Mezz_Loan_Type="shareholder")-Funding!I74*(Bank_as_SH_Loan="yes")</f>
        <v>0</v>
      </c>
      <c r="J116" s="65" t="e">
        <f aca="false">-Funding!J130*(Mezz_Loan_Type="shareholder")-Funding!J74*(Bank_as_SH_Loan="yes")</f>
        <v>#VALUE!</v>
      </c>
      <c r="K116" s="65" t="e">
        <f aca="false">-Funding!K130*(Mezz_Loan_Type="shareholder")-Funding!K74*(Bank_as_SH_Loan="yes")</f>
        <v>#VALUE!</v>
      </c>
      <c r="L116" s="65" t="e">
        <f aca="false">-Funding!L130*(Mezz_Loan_Type="shareholder")-Funding!L74*(Bank_as_SH_Loan="yes")</f>
        <v>#VALUE!</v>
      </c>
      <c r="M116" s="65" t="e">
        <f aca="false">-Funding!M130*(Mezz_Loan_Type="shareholder")-Funding!M74*(Bank_as_SH_Loan="yes")</f>
        <v>#VALUE!</v>
      </c>
      <c r="N116" s="65" t="e">
        <f aca="false">-Funding!N130*(Mezz_Loan_Type="shareholder")-Funding!N74*(Bank_as_SH_Loan="yes")</f>
        <v>#VALUE!</v>
      </c>
      <c r="O116" s="65" t="e">
        <f aca="false">-Funding!O130*(Mezz_Loan_Type="shareholder")-Funding!O74*(Bank_as_SH_Loan="yes")</f>
        <v>#VALUE!</v>
      </c>
      <c r="P116" s="65" t="e">
        <f aca="false">-Funding!P130*(Mezz_Loan_Type="shareholder")-Funding!P74*(Bank_as_SH_Loan="yes")</f>
        <v>#VALUE!</v>
      </c>
      <c r="Q116" s="65" t="e">
        <f aca="false">-Funding!Q130*(Mezz_Loan_Type="shareholder")-Funding!Q74*(Bank_as_SH_Loan="yes")</f>
        <v>#VALUE!</v>
      </c>
      <c r="R116" s="65" t="e">
        <f aca="false">-Funding!R130*(Mezz_Loan_Type="shareholder")-Funding!R74*(Bank_as_SH_Loan="yes")</f>
        <v>#VALUE!</v>
      </c>
      <c r="S116" s="65" t="e">
        <f aca="false">-Funding!S130*(Mezz_Loan_Type="shareholder")-Funding!S74*(Bank_as_SH_Loan="yes")</f>
        <v>#VALUE!</v>
      </c>
      <c r="T116" s="65" t="e">
        <f aca="false">-Funding!T130*(Mezz_Loan_Type="shareholder")-Funding!T74*(Bank_as_SH_Loan="yes")</f>
        <v>#VALUE!</v>
      </c>
      <c r="U116" s="65" t="e">
        <f aca="false">-Funding!U130*(Mezz_Loan_Type="shareholder")-Funding!U74*(Bank_as_SH_Loan="yes")</f>
        <v>#VALUE!</v>
      </c>
      <c r="V116" s="65" t="e">
        <f aca="false">-Funding!V130*(Mezz_Loan_Type="shareholder")-Funding!V74*(Bank_as_SH_Loan="yes")</f>
        <v>#VALUE!</v>
      </c>
      <c r="W116" s="65" t="e">
        <f aca="false">-Funding!W130*(Mezz_Loan_Type="shareholder")-Funding!W74*(Bank_as_SH_Loan="yes")</f>
        <v>#VALUE!</v>
      </c>
      <c r="X116" s="65" t="e">
        <f aca="false">-Funding!X130*(Mezz_Loan_Type="shareholder")-Funding!X74*(Bank_as_SH_Loan="yes")</f>
        <v>#VALUE!</v>
      </c>
      <c r="Y116" s="65" t="e">
        <f aca="false">-Funding!Y130*(Mezz_Loan_Type="shareholder")-Funding!Y74*(Bank_as_SH_Loan="yes")</f>
        <v>#VALUE!</v>
      </c>
      <c r="Z116" s="65" t="e">
        <f aca="false">-Funding!Z130*(Mezz_Loan_Type="shareholder")-Funding!Z74*(Bank_as_SH_Loan="yes")</f>
        <v>#VALUE!</v>
      </c>
      <c r="AA116" s="65" t="e">
        <f aca="false">-Funding!AA130*(Mezz_Loan_Type="shareholder")-Funding!AA74*(Bank_as_SH_Loan="yes")</f>
        <v>#VALUE!</v>
      </c>
      <c r="AB116" s="65" t="e">
        <f aca="false">-Funding!AB130*(Mezz_Loan_Type="shareholder")-Funding!AB74*(Bank_as_SH_Loan="yes")</f>
        <v>#VALUE!</v>
      </c>
      <c r="AC116" s="65" t="e">
        <f aca="false">-Funding!AC130*(Mezz_Loan_Type="shareholder")-Funding!AC74*(Bank_as_SH_Loan="yes")</f>
        <v>#VALUE!</v>
      </c>
      <c r="AD116" s="65" t="e">
        <f aca="false">-Funding!AD130*(Mezz_Loan_Type="shareholder")-Funding!AD74*(Bank_as_SH_Loan="yes")</f>
        <v>#VALUE!</v>
      </c>
      <c r="AE116" s="65" t="e">
        <f aca="false">-Funding!AE130*(Mezz_Loan_Type="shareholder")-Funding!AE74*(Bank_as_SH_Loan="yes")</f>
        <v>#VALUE!</v>
      </c>
      <c r="AF116" s="65" t="e">
        <f aca="false">-Funding!AF130*(Mezz_Loan_Type="shareholder")-Funding!AF74*(Bank_as_SH_Loan="yes")</f>
        <v>#VALUE!</v>
      </c>
      <c r="AG116" s="65" t="e">
        <f aca="false">-Funding!AG130*(Mezz_Loan_Type="shareholder")-Funding!AG74*(Bank_as_SH_Loan="yes")</f>
        <v>#VALUE!</v>
      </c>
      <c r="AH116" s="65" t="e">
        <f aca="false">-Funding!AH130*(Mezz_Loan_Type="shareholder")-Funding!AH74*(Bank_as_SH_Loan="yes")</f>
        <v>#VALUE!</v>
      </c>
      <c r="AI116" s="65" t="e">
        <f aca="false">-Funding!AI130*(Mezz_Loan_Type="shareholder")-Funding!AI74*(Bank_as_SH_Loan="yes")</f>
        <v>#VALUE!</v>
      </c>
      <c r="AJ116" s="65" t="e">
        <f aca="false">-Funding!AJ130*(Mezz_Loan_Type="shareholder")-Funding!AJ74*(Bank_as_SH_Loan="yes")</f>
        <v>#VALUE!</v>
      </c>
      <c r="AK116" s="65" t="e">
        <f aca="false">-Funding!AK130*(Mezz_Loan_Type="shareholder")-Funding!AK74*(Bank_as_SH_Loan="yes")</f>
        <v>#VALUE!</v>
      </c>
      <c r="AL116" s="65" t="e">
        <f aca="false">-Funding!AL130*(Mezz_Loan_Type="shareholder")-Funding!AL74*(Bank_as_SH_Loan="yes")</f>
        <v>#VALUE!</v>
      </c>
    </row>
    <row r="117" customFormat="false" ht="15" hidden="false" customHeight="false" outlineLevel="0" collapsed="false">
      <c r="C117" s="136" t="s">
        <v>271</v>
      </c>
      <c r="E117" s="0"/>
      <c r="H117" s="0"/>
      <c r="I117" s="65" t="n">
        <f aca="false">-I116*WHT_Interest</f>
        <v>0</v>
      </c>
      <c r="J117" s="65" t="e">
        <f aca="false">-J116*WHT_Interest</f>
        <v>#VALUE!</v>
      </c>
      <c r="K117" s="65" t="e">
        <f aca="false">-K116*WHT_Interest</f>
        <v>#VALUE!</v>
      </c>
      <c r="L117" s="65" t="e">
        <f aca="false">-L116*WHT_Interest</f>
        <v>#VALUE!</v>
      </c>
      <c r="M117" s="65" t="e">
        <f aca="false">-M116*WHT_Interest</f>
        <v>#VALUE!</v>
      </c>
      <c r="N117" s="65" t="e">
        <f aca="false">-N116*WHT_Interest</f>
        <v>#VALUE!</v>
      </c>
      <c r="O117" s="65" t="e">
        <f aca="false">-O116*WHT_Interest</f>
        <v>#VALUE!</v>
      </c>
      <c r="P117" s="65" t="e">
        <f aca="false">-P116*WHT_Interest</f>
        <v>#VALUE!</v>
      </c>
      <c r="Q117" s="65" t="e">
        <f aca="false">-Q116*WHT_Interest</f>
        <v>#VALUE!</v>
      </c>
      <c r="R117" s="65" t="e">
        <f aca="false">-R116*WHT_Interest</f>
        <v>#VALUE!</v>
      </c>
      <c r="S117" s="65" t="e">
        <f aca="false">-S116*WHT_Interest</f>
        <v>#VALUE!</v>
      </c>
      <c r="T117" s="65" t="e">
        <f aca="false">-T116*WHT_Interest</f>
        <v>#VALUE!</v>
      </c>
      <c r="U117" s="65" t="e">
        <f aca="false">-U116*WHT_Interest</f>
        <v>#VALUE!</v>
      </c>
      <c r="V117" s="65" t="e">
        <f aca="false">-V116*WHT_Interest</f>
        <v>#VALUE!</v>
      </c>
      <c r="W117" s="65" t="e">
        <f aca="false">-W116*WHT_Interest</f>
        <v>#VALUE!</v>
      </c>
      <c r="X117" s="65" t="e">
        <f aca="false">-X116*WHT_Interest</f>
        <v>#VALUE!</v>
      </c>
      <c r="Y117" s="65" t="e">
        <f aca="false">-Y116*WHT_Interest</f>
        <v>#VALUE!</v>
      </c>
      <c r="Z117" s="65" t="e">
        <f aca="false">-Z116*WHT_Interest</f>
        <v>#VALUE!</v>
      </c>
      <c r="AA117" s="65" t="e">
        <f aca="false">-AA116*WHT_Interest</f>
        <v>#VALUE!</v>
      </c>
      <c r="AB117" s="65" t="e">
        <f aca="false">-AB116*WHT_Interest</f>
        <v>#VALUE!</v>
      </c>
      <c r="AC117" s="65" t="e">
        <f aca="false">-AC116*WHT_Interest</f>
        <v>#VALUE!</v>
      </c>
      <c r="AD117" s="65" t="e">
        <f aca="false">-AD116*WHT_Interest</f>
        <v>#VALUE!</v>
      </c>
      <c r="AE117" s="65" t="e">
        <f aca="false">-AE116*WHT_Interest</f>
        <v>#VALUE!</v>
      </c>
      <c r="AF117" s="65" t="e">
        <f aca="false">-AF116*WHT_Interest</f>
        <v>#VALUE!</v>
      </c>
      <c r="AG117" s="65" t="e">
        <f aca="false">-AG116*WHT_Interest</f>
        <v>#VALUE!</v>
      </c>
      <c r="AH117" s="65" t="e">
        <f aca="false">-AH116*WHT_Interest</f>
        <v>#VALUE!</v>
      </c>
      <c r="AI117" s="65" t="e">
        <f aca="false">-AI116*WHT_Interest</f>
        <v>#VALUE!</v>
      </c>
      <c r="AJ117" s="65" t="e">
        <f aca="false">-AJ116*WHT_Interest</f>
        <v>#VALUE!</v>
      </c>
      <c r="AK117" s="65" t="e">
        <f aca="false">-AK116*WHT_Interest</f>
        <v>#VALUE!</v>
      </c>
      <c r="AL117" s="65" t="e">
        <f aca="false">-AL116*WHT_Interest</f>
        <v>#VALUE!</v>
      </c>
    </row>
    <row r="118" customFormat="false" ht="15" hidden="false" customHeight="false" outlineLevel="0" collapsed="false">
      <c r="C118" s="0" t="s">
        <v>272</v>
      </c>
      <c r="E118" s="0"/>
      <c r="H118" s="0"/>
      <c r="I118" s="65" t="e">
        <f aca="false">-Funding!I165</f>
        <v>#DIV/0!</v>
      </c>
      <c r="J118" s="65" t="e">
        <f aca="false">-Funding!J165</f>
        <v>#DIV/0!</v>
      </c>
      <c r="K118" s="65" t="e">
        <f aca="false">-Funding!K165</f>
        <v>#DIV/0!</v>
      </c>
      <c r="L118" s="65" t="e">
        <f aca="false">-Funding!L165</f>
        <v>#DIV/0!</v>
      </c>
      <c r="M118" s="65" t="e">
        <f aca="false">-Funding!M165</f>
        <v>#DIV/0!</v>
      </c>
      <c r="N118" s="65" t="e">
        <f aca="false">-Funding!N165</f>
        <v>#DIV/0!</v>
      </c>
      <c r="O118" s="65" t="e">
        <f aca="false">-Funding!O165</f>
        <v>#DIV/0!</v>
      </c>
      <c r="P118" s="65" t="e">
        <f aca="false">-Funding!P165</f>
        <v>#DIV/0!</v>
      </c>
      <c r="Q118" s="65" t="e">
        <f aca="false">-Funding!Q165</f>
        <v>#DIV/0!</v>
      </c>
      <c r="R118" s="65" t="e">
        <f aca="false">-Funding!R165</f>
        <v>#DIV/0!</v>
      </c>
      <c r="S118" s="65" t="e">
        <f aca="false">-Funding!S165</f>
        <v>#DIV/0!</v>
      </c>
      <c r="T118" s="65" t="e">
        <f aca="false">-Funding!T165</f>
        <v>#DIV/0!</v>
      </c>
      <c r="U118" s="65" t="e">
        <f aca="false">-Funding!U165</f>
        <v>#DIV/0!</v>
      </c>
      <c r="V118" s="65" t="e">
        <f aca="false">-Funding!V165</f>
        <v>#DIV/0!</v>
      </c>
      <c r="W118" s="65" t="e">
        <f aca="false">-Funding!W165</f>
        <v>#DIV/0!</v>
      </c>
      <c r="X118" s="65" t="e">
        <f aca="false">-Funding!X165</f>
        <v>#DIV/0!</v>
      </c>
      <c r="Y118" s="65" t="e">
        <f aca="false">-Funding!Y165</f>
        <v>#DIV/0!</v>
      </c>
      <c r="Z118" s="65" t="e">
        <f aca="false">-Funding!Z165</f>
        <v>#DIV/0!</v>
      </c>
      <c r="AA118" s="65" t="e">
        <f aca="false">-Funding!AA165</f>
        <v>#DIV/0!</v>
      </c>
      <c r="AB118" s="65" t="e">
        <f aca="false">-Funding!AB165</f>
        <v>#DIV/0!</v>
      </c>
      <c r="AC118" s="65" t="e">
        <f aca="false">-Funding!AC165</f>
        <v>#DIV/0!</v>
      </c>
      <c r="AD118" s="65" t="e">
        <f aca="false">-Funding!AD165</f>
        <v>#DIV/0!</v>
      </c>
      <c r="AE118" s="65" t="e">
        <f aca="false">-Funding!AE165</f>
        <v>#DIV/0!</v>
      </c>
      <c r="AF118" s="65" t="e">
        <f aca="false">-Funding!AF165</f>
        <v>#DIV/0!</v>
      </c>
      <c r="AG118" s="65" t="e">
        <f aca="false">-Funding!AG165</f>
        <v>#DIV/0!</v>
      </c>
      <c r="AH118" s="65" t="e">
        <f aca="false">-Funding!AH165</f>
        <v>#DIV/0!</v>
      </c>
      <c r="AI118" s="65" t="e">
        <f aca="false">-Funding!AI165</f>
        <v>#DIV/0!</v>
      </c>
      <c r="AJ118" s="65" t="e">
        <f aca="false">-Funding!AJ165</f>
        <v>#DIV/0!</v>
      </c>
      <c r="AK118" s="65" t="e">
        <f aca="false">-Funding!AK165</f>
        <v>#DIV/0!</v>
      </c>
      <c r="AL118" s="65" t="e">
        <f aca="false">-Funding!AL165</f>
        <v>#DIV/0!</v>
      </c>
    </row>
    <row r="119" customFormat="false" ht="15" hidden="false" customHeight="false" outlineLevel="0" collapsed="false">
      <c r="C119" s="0" t="s">
        <v>273</v>
      </c>
      <c r="E119" s="0"/>
      <c r="H119" s="0"/>
      <c r="I119" s="65" t="e">
        <f aca="false">-Funding!I166</f>
        <v>#DIV/0!</v>
      </c>
      <c r="J119" s="65" t="e">
        <f aca="false">-Funding!J166</f>
        <v>#VALUE!</v>
      </c>
      <c r="K119" s="65" t="e">
        <f aca="false">-Funding!K166</f>
        <v>#VALUE!</v>
      </c>
      <c r="L119" s="65" t="e">
        <f aca="false">-Funding!L166</f>
        <v>#VALUE!</v>
      </c>
      <c r="M119" s="65" t="e">
        <f aca="false">-Funding!M166</f>
        <v>#VALUE!</v>
      </c>
      <c r="N119" s="65" t="e">
        <f aca="false">-Funding!N166</f>
        <v>#VALUE!</v>
      </c>
      <c r="O119" s="65" t="e">
        <f aca="false">-Funding!O166</f>
        <v>#VALUE!</v>
      </c>
      <c r="P119" s="65" t="e">
        <f aca="false">-Funding!P166</f>
        <v>#VALUE!</v>
      </c>
      <c r="Q119" s="65" t="e">
        <f aca="false">-Funding!Q166</f>
        <v>#VALUE!</v>
      </c>
      <c r="R119" s="65" t="e">
        <f aca="false">-Funding!R166</f>
        <v>#VALUE!</v>
      </c>
      <c r="S119" s="65" t="e">
        <f aca="false">-Funding!S166</f>
        <v>#VALUE!</v>
      </c>
      <c r="T119" s="65" t="e">
        <f aca="false">-Funding!T166</f>
        <v>#VALUE!</v>
      </c>
      <c r="U119" s="65" t="e">
        <f aca="false">-Funding!U166</f>
        <v>#VALUE!</v>
      </c>
      <c r="V119" s="65" t="e">
        <f aca="false">-Funding!V166</f>
        <v>#VALUE!</v>
      </c>
      <c r="W119" s="65" t="e">
        <f aca="false">-Funding!W166</f>
        <v>#VALUE!</v>
      </c>
      <c r="X119" s="65" t="e">
        <f aca="false">-Funding!X166</f>
        <v>#VALUE!</v>
      </c>
      <c r="Y119" s="65" t="e">
        <f aca="false">-Funding!Y166</f>
        <v>#VALUE!</v>
      </c>
      <c r="Z119" s="65" t="e">
        <f aca="false">-Funding!Z166</f>
        <v>#VALUE!</v>
      </c>
      <c r="AA119" s="65" t="e">
        <f aca="false">-Funding!AA166</f>
        <v>#VALUE!</v>
      </c>
      <c r="AB119" s="65" t="e">
        <f aca="false">-Funding!AB166</f>
        <v>#VALUE!</v>
      </c>
      <c r="AC119" s="65" t="e">
        <f aca="false">-Funding!AC166</f>
        <v>#VALUE!</v>
      </c>
      <c r="AD119" s="65" t="e">
        <f aca="false">-Funding!AD166</f>
        <v>#VALUE!</v>
      </c>
      <c r="AE119" s="65" t="e">
        <f aca="false">-Funding!AE166</f>
        <v>#VALUE!</v>
      </c>
      <c r="AF119" s="65" t="e">
        <f aca="false">-Funding!AF166</f>
        <v>#VALUE!</v>
      </c>
      <c r="AG119" s="65" t="e">
        <f aca="false">-Funding!AG166</f>
        <v>#VALUE!</v>
      </c>
      <c r="AH119" s="65" t="e">
        <f aca="false">-Funding!AH166</f>
        <v>#VALUE!</v>
      </c>
      <c r="AI119" s="65" t="e">
        <f aca="false">-Funding!AI166</f>
        <v>#VALUE!</v>
      </c>
      <c r="AJ119" s="65" t="e">
        <f aca="false">-Funding!AJ166</f>
        <v>#VALUE!</v>
      </c>
      <c r="AK119" s="65" t="e">
        <f aca="false">-Funding!AK166</f>
        <v>#VALUE!</v>
      </c>
      <c r="AL119" s="65" t="e">
        <f aca="false">-Funding!AL166</f>
        <v>#VALUE!</v>
      </c>
    </row>
    <row r="120" customFormat="false" ht="15" hidden="false" customHeight="false" outlineLevel="0" collapsed="false">
      <c r="C120" s="136" t="s">
        <v>271</v>
      </c>
      <c r="E120" s="0"/>
      <c r="H120" s="0"/>
      <c r="I120" s="65" t="e">
        <f aca="false">-I119*WHT_Interest</f>
        <v>#DIV/0!</v>
      </c>
      <c r="J120" s="65" t="e">
        <f aca="false">-J119*WHT_Interest</f>
        <v>#VALUE!</v>
      </c>
      <c r="K120" s="65" t="e">
        <f aca="false">-K119*WHT_Interest</f>
        <v>#VALUE!</v>
      </c>
      <c r="L120" s="65" t="e">
        <f aca="false">-L119*WHT_Interest</f>
        <v>#VALUE!</v>
      </c>
      <c r="M120" s="65" t="e">
        <f aca="false">-M119*WHT_Interest</f>
        <v>#VALUE!</v>
      </c>
      <c r="N120" s="65" t="e">
        <f aca="false">-N119*WHT_Interest</f>
        <v>#VALUE!</v>
      </c>
      <c r="O120" s="65" t="e">
        <f aca="false">-O119*WHT_Interest</f>
        <v>#VALUE!</v>
      </c>
      <c r="P120" s="65" t="e">
        <f aca="false">-P119*WHT_Interest</f>
        <v>#VALUE!</v>
      </c>
      <c r="Q120" s="65" t="e">
        <f aca="false">-Q119*WHT_Interest</f>
        <v>#VALUE!</v>
      </c>
      <c r="R120" s="65" t="e">
        <f aca="false">-R119*WHT_Interest</f>
        <v>#VALUE!</v>
      </c>
      <c r="S120" s="65" t="e">
        <f aca="false">-S119*WHT_Interest</f>
        <v>#VALUE!</v>
      </c>
      <c r="T120" s="65" t="e">
        <f aca="false">-T119*WHT_Interest</f>
        <v>#VALUE!</v>
      </c>
      <c r="U120" s="65" t="e">
        <f aca="false">-U119*WHT_Interest</f>
        <v>#VALUE!</v>
      </c>
      <c r="V120" s="65" t="e">
        <f aca="false">-V119*WHT_Interest</f>
        <v>#VALUE!</v>
      </c>
      <c r="W120" s="65" t="e">
        <f aca="false">-W119*WHT_Interest</f>
        <v>#VALUE!</v>
      </c>
      <c r="X120" s="65" t="e">
        <f aca="false">-X119*WHT_Interest</f>
        <v>#VALUE!</v>
      </c>
      <c r="Y120" s="65" t="e">
        <f aca="false">-Y119*WHT_Interest</f>
        <v>#VALUE!</v>
      </c>
      <c r="Z120" s="65" t="e">
        <f aca="false">-Z119*WHT_Interest</f>
        <v>#VALUE!</v>
      </c>
      <c r="AA120" s="65" t="e">
        <f aca="false">-AA119*WHT_Interest</f>
        <v>#VALUE!</v>
      </c>
      <c r="AB120" s="65" t="e">
        <f aca="false">-AB119*WHT_Interest</f>
        <v>#VALUE!</v>
      </c>
      <c r="AC120" s="65" t="e">
        <f aca="false">-AC119*WHT_Interest</f>
        <v>#VALUE!</v>
      </c>
      <c r="AD120" s="65" t="e">
        <f aca="false">-AD119*WHT_Interest</f>
        <v>#VALUE!</v>
      </c>
      <c r="AE120" s="65" t="e">
        <f aca="false">-AE119*WHT_Interest</f>
        <v>#VALUE!</v>
      </c>
      <c r="AF120" s="65" t="e">
        <f aca="false">-AF119*WHT_Interest</f>
        <v>#VALUE!</v>
      </c>
      <c r="AG120" s="65" t="e">
        <f aca="false">-AG119*WHT_Interest</f>
        <v>#VALUE!</v>
      </c>
      <c r="AH120" s="65" t="e">
        <f aca="false">-AH119*WHT_Interest</f>
        <v>#VALUE!</v>
      </c>
      <c r="AI120" s="65" t="e">
        <f aca="false">-AI119*WHT_Interest</f>
        <v>#VALUE!</v>
      </c>
      <c r="AJ120" s="65" t="e">
        <f aca="false">-AJ119*WHT_Interest</f>
        <v>#VALUE!</v>
      </c>
      <c r="AK120" s="65" t="e">
        <f aca="false">-AK119*WHT_Interest</f>
        <v>#VALUE!</v>
      </c>
      <c r="AL120" s="65" t="e">
        <f aca="false">-AL119*WHT_Interest</f>
        <v>#VALUE!</v>
      </c>
    </row>
    <row r="121" customFormat="false" ht="15" hidden="false" customHeight="false" outlineLevel="0" collapsed="false">
      <c r="C121" s="0" t="s">
        <v>259</v>
      </c>
      <c r="E121" s="0"/>
      <c r="G121" s="65" t="e">
        <f aca="false">SUM(I124:S124)</f>
        <v>#VALUE!</v>
      </c>
      <c r="H121" s="0"/>
      <c r="I121" s="65" t="e">
        <f aca="false">-I100*(Funding!$H$22+Equity_stepdown*(Equity_stepdown_duration&lt;I8))</f>
        <v>#VALUE!</v>
      </c>
      <c r="J121" s="65" t="e">
        <f aca="false">-J100*(Funding!$H$22+Equity_stepdown*(Equity_stepdown_duration&lt;J8))</f>
        <v>#VALUE!</v>
      </c>
      <c r="K121" s="65" t="e">
        <f aca="false">-K100*(Funding!$H$22+Equity_stepdown*(Equity_stepdown_duration&lt;K8))</f>
        <v>#VALUE!</v>
      </c>
      <c r="L121" s="65" t="e">
        <f aca="false">-L100*(Funding!$H$22+Equity_stepdown*(Equity_stepdown_duration&lt;L8))</f>
        <v>#VALUE!</v>
      </c>
      <c r="M121" s="65" t="e">
        <f aca="false">-M100*(Funding!$H$22+Equity_stepdown*(Equity_stepdown_duration&lt;M8))</f>
        <v>#VALUE!</v>
      </c>
      <c r="N121" s="65" t="e">
        <f aca="false">-N100*(Funding!$H$22+Equity_stepdown*(Equity_stepdown_duration&lt;N8))</f>
        <v>#VALUE!</v>
      </c>
      <c r="O121" s="65" t="e">
        <f aca="false">-O100*(Funding!$H$22+Equity_stepdown*(Equity_stepdown_duration&lt;O8))</f>
        <v>#VALUE!</v>
      </c>
      <c r="P121" s="65" t="e">
        <f aca="false">-P100*(Funding!$H$22+Equity_stepdown*(Equity_stepdown_duration&lt;P8))</f>
        <v>#VALUE!</v>
      </c>
      <c r="Q121" s="65" t="e">
        <f aca="false">-Q100*(Funding!$H$22+Equity_stepdown*(Equity_stepdown_duration&lt;Q8))</f>
        <v>#VALUE!</v>
      </c>
      <c r="R121" s="65" t="e">
        <f aca="false">-R100*(Funding!$H$22+Equity_stepdown*(Equity_stepdown_duration&lt;R8))</f>
        <v>#VALUE!</v>
      </c>
      <c r="S121" s="65" t="e">
        <f aca="false">-S100*(Funding!$H$22+Equity_stepdown*(Equity_stepdown_duration&lt;S8))</f>
        <v>#VALUE!</v>
      </c>
      <c r="T121" s="65" t="e">
        <f aca="false">-T100*(Funding!$H$22+Equity_stepdown*(Equity_stepdown_duration&lt;T8))</f>
        <v>#VALUE!</v>
      </c>
      <c r="U121" s="65" t="e">
        <f aca="false">-U100*(Funding!$H$22+Equity_stepdown*(Equity_stepdown_duration&lt;U8))</f>
        <v>#VALUE!</v>
      </c>
      <c r="V121" s="65" t="e">
        <f aca="false">-V100*(Funding!$H$22+Equity_stepdown*(Equity_stepdown_duration&lt;V8))</f>
        <v>#VALUE!</v>
      </c>
      <c r="W121" s="65" t="e">
        <f aca="false">-W100*(Funding!$H$22+Equity_stepdown*(Equity_stepdown_duration&lt;W8))</f>
        <v>#VALUE!</v>
      </c>
      <c r="X121" s="65" t="e">
        <f aca="false">-X100*(Funding!$H$22+Equity_stepdown*(Equity_stepdown_duration&lt;X8))</f>
        <v>#VALUE!</v>
      </c>
      <c r="Y121" s="65" t="e">
        <f aca="false">-Y100*(Funding!$H$22+Equity_stepdown*(Equity_stepdown_duration&lt;Y8))</f>
        <v>#VALUE!</v>
      </c>
      <c r="Z121" s="65" t="e">
        <f aca="false">-Z100*(Funding!$H$22+Equity_stepdown*(Equity_stepdown_duration&lt;Z8))</f>
        <v>#VALUE!</v>
      </c>
      <c r="AA121" s="65" t="e">
        <f aca="false">-AA100*(Funding!$H$22+Equity_stepdown*(Equity_stepdown_duration&lt;AA8))</f>
        <v>#VALUE!</v>
      </c>
      <c r="AB121" s="65" t="e">
        <f aca="false">-AB100*(Funding!$H$22+Equity_stepdown*(Equity_stepdown_duration&lt;AB8))</f>
        <v>#VALUE!</v>
      </c>
      <c r="AC121" s="65" t="e">
        <f aca="false">-AC100*(Funding!$H$22+Equity_stepdown*(Equity_stepdown_duration&lt;AC8))</f>
        <v>#VALUE!</v>
      </c>
      <c r="AD121" s="65" t="e">
        <f aca="false">-AD100*(Funding!$H$22+Equity_stepdown*(Equity_stepdown_duration&lt;AD8))</f>
        <v>#VALUE!</v>
      </c>
      <c r="AE121" s="65" t="e">
        <f aca="false">-AE100*(Funding!$H$22+Equity_stepdown*(Equity_stepdown_duration&lt;AE8))</f>
        <v>#VALUE!</v>
      </c>
      <c r="AF121" s="65" t="e">
        <f aca="false">-AF100*(Funding!$H$22+Equity_stepdown*(Equity_stepdown_duration&lt;AF8))</f>
        <v>#VALUE!</v>
      </c>
      <c r="AG121" s="65" t="e">
        <f aca="false">-AG100*(Funding!$H$22+Equity_stepdown*(Equity_stepdown_duration&lt;AG8))</f>
        <v>#VALUE!</v>
      </c>
      <c r="AH121" s="65" t="e">
        <f aca="false">-AH100*(Funding!$H$22+Equity_stepdown*(Equity_stepdown_duration&lt;AH8))</f>
        <v>#VALUE!</v>
      </c>
      <c r="AI121" s="65" t="e">
        <f aca="false">-AI100*(Funding!$H$22+Equity_stepdown*(Equity_stepdown_duration&lt;AI8))</f>
        <v>#VALUE!</v>
      </c>
      <c r="AJ121" s="65" t="e">
        <f aca="false">-AJ100*(Funding!$H$22+Equity_stepdown*(Equity_stepdown_duration&lt;AJ8))</f>
        <v>#VALUE!</v>
      </c>
      <c r="AK121" s="65" t="e">
        <f aca="false">-AK100*(Funding!$H$22+Equity_stepdown*(Equity_stepdown_duration&lt;AK8))</f>
        <v>#VALUE!</v>
      </c>
      <c r="AL121" s="65" t="e">
        <f aca="false">-AL100*(Funding!$H$22+Equity_stepdown*(Equity_stepdown_duration&lt;AL8))</f>
        <v>#VALUE!</v>
      </c>
    </row>
    <row r="122" customFormat="false" ht="15" hidden="false" customHeight="false" outlineLevel="0" collapsed="false">
      <c r="C122" s="0" t="s">
        <v>261</v>
      </c>
      <c r="E122" s="0"/>
      <c r="H122" s="0"/>
      <c r="I122" s="65" t="e">
        <f aca="false">-I103*(Funding!$H$22+Equity_stepdown*(Equity_stepdown_duration&lt;I8))</f>
        <v>#VALUE!</v>
      </c>
      <c r="J122" s="65" t="e">
        <f aca="false">-J103*(Funding!$H$22+Equity_stepdown*(Equity_stepdown_duration&lt;J8))</f>
        <v>#VALUE!</v>
      </c>
      <c r="K122" s="65" t="e">
        <f aca="false">-K103*(Funding!$H$22+Equity_stepdown*(Equity_stepdown_duration&lt;K8))</f>
        <v>#VALUE!</v>
      </c>
      <c r="L122" s="65" t="e">
        <f aca="false">-L103*(Funding!$H$22+Equity_stepdown*(Equity_stepdown_duration&lt;L8))</f>
        <v>#VALUE!</v>
      </c>
      <c r="M122" s="65" t="e">
        <f aca="false">-M103*(Funding!$H$22+Equity_stepdown*(Equity_stepdown_duration&lt;M8))</f>
        <v>#VALUE!</v>
      </c>
      <c r="N122" s="65" t="e">
        <f aca="false">-N103*(Funding!$H$22+Equity_stepdown*(Equity_stepdown_duration&lt;N8))</f>
        <v>#VALUE!</v>
      </c>
      <c r="O122" s="65" t="e">
        <f aca="false">-O103*(Funding!$H$22+Equity_stepdown*(Equity_stepdown_duration&lt;O8))</f>
        <v>#VALUE!</v>
      </c>
      <c r="P122" s="65" t="e">
        <f aca="false">-P103*(Funding!$H$22+Equity_stepdown*(Equity_stepdown_duration&lt;P8))</f>
        <v>#VALUE!</v>
      </c>
      <c r="Q122" s="65" t="e">
        <f aca="false">-Q103*(Funding!$H$22+Equity_stepdown*(Equity_stepdown_duration&lt;Q8))</f>
        <v>#VALUE!</v>
      </c>
      <c r="R122" s="65" t="e">
        <f aca="false">-R103*(Funding!$H$22+Equity_stepdown*(Equity_stepdown_duration&lt;R8))</f>
        <v>#VALUE!</v>
      </c>
      <c r="S122" s="65" t="e">
        <f aca="false">-S103*(Funding!$H$22+Equity_stepdown*(Equity_stepdown_duration&lt;S8))</f>
        <v>#VALUE!</v>
      </c>
      <c r="T122" s="65" t="e">
        <f aca="false">-T103*(Funding!$H$22+Equity_stepdown*(Equity_stepdown_duration&lt;T8))</f>
        <v>#VALUE!</v>
      </c>
      <c r="U122" s="65" t="e">
        <f aca="false">-U103*(Funding!$H$22+Equity_stepdown*(Equity_stepdown_duration&lt;U8))</f>
        <v>#VALUE!</v>
      </c>
      <c r="V122" s="65" t="e">
        <f aca="false">-V103*(Funding!$H$22+Equity_stepdown*(Equity_stepdown_duration&lt;V8))</f>
        <v>#VALUE!</v>
      </c>
      <c r="W122" s="65" t="e">
        <f aca="false">-W103*(Funding!$H$22+Equity_stepdown*(Equity_stepdown_duration&lt;W8))</f>
        <v>#VALUE!</v>
      </c>
      <c r="X122" s="65" t="e">
        <f aca="false">-X103*(Funding!$H$22+Equity_stepdown*(Equity_stepdown_duration&lt;X8))</f>
        <v>#VALUE!</v>
      </c>
      <c r="Y122" s="65" t="e">
        <f aca="false">-Y103*(Funding!$H$22+Equity_stepdown*(Equity_stepdown_duration&lt;Y8))</f>
        <v>#VALUE!</v>
      </c>
      <c r="Z122" s="65" t="e">
        <f aca="false">-Z103*(Funding!$H$22+Equity_stepdown*(Equity_stepdown_duration&lt;Z8))</f>
        <v>#VALUE!</v>
      </c>
      <c r="AA122" s="65" t="e">
        <f aca="false">-AA103*(Funding!$H$22+Equity_stepdown*(Equity_stepdown_duration&lt;AA8))</f>
        <v>#VALUE!</v>
      </c>
      <c r="AB122" s="65" t="e">
        <f aca="false">-AB103*(Funding!$H$22+Equity_stepdown*(Equity_stepdown_duration&lt;AB8))</f>
        <v>#VALUE!</v>
      </c>
      <c r="AC122" s="65" t="e">
        <f aca="false">-AC103*(Funding!$H$22+Equity_stepdown*(Equity_stepdown_duration&lt;AC8))</f>
        <v>#VALUE!</v>
      </c>
      <c r="AD122" s="65" t="e">
        <f aca="false">-AD103*(Funding!$H$22+Equity_stepdown*(Equity_stepdown_duration&lt;AD8))</f>
        <v>#VALUE!</v>
      </c>
      <c r="AE122" s="65" t="e">
        <f aca="false">-AE103*(Funding!$H$22+Equity_stepdown*(Equity_stepdown_duration&lt;AE8))</f>
        <v>#VALUE!</v>
      </c>
      <c r="AF122" s="65" t="e">
        <f aca="false">-AF103*(Funding!$H$22+Equity_stepdown*(Equity_stepdown_duration&lt;AF8))</f>
        <v>#VALUE!</v>
      </c>
      <c r="AG122" s="65" t="e">
        <f aca="false">-AG103*(Funding!$H$22+Equity_stepdown*(Equity_stepdown_duration&lt;AG8))</f>
        <v>#VALUE!</v>
      </c>
      <c r="AH122" s="65" t="e">
        <f aca="false">-AH103*(Funding!$H$22+Equity_stepdown*(Equity_stepdown_duration&lt;AH8))</f>
        <v>#VALUE!</v>
      </c>
      <c r="AI122" s="65" t="e">
        <f aca="false">-AI103*(Funding!$H$22+Equity_stepdown*(Equity_stepdown_duration&lt;AI8))</f>
        <v>#VALUE!</v>
      </c>
      <c r="AJ122" s="65" t="e">
        <f aca="false">-AJ103*(Funding!$H$22+Equity_stepdown*(Equity_stepdown_duration&lt;AJ8))</f>
        <v>#VALUE!</v>
      </c>
      <c r="AK122" s="65" t="e">
        <f aca="false">-AK103*(Funding!$H$22+Equity_stepdown*(Equity_stepdown_duration&lt;AK8))</f>
        <v>#VALUE!</v>
      </c>
      <c r="AL122" s="65" t="e">
        <f aca="false">-AL103*(Funding!$H$22+Equity_stepdown*(Equity_stepdown_duration&lt;AL8))</f>
        <v>#VALUE!</v>
      </c>
    </row>
    <row r="123" customFormat="false" ht="15" hidden="false" customHeight="false" outlineLevel="0" collapsed="false">
      <c r="C123" s="136" t="s">
        <v>274</v>
      </c>
      <c r="E123" s="0"/>
      <c r="H123" s="0"/>
      <c r="I123" s="65" t="e">
        <f aca="false">-I122*WHT_Dividends</f>
        <v>#VALUE!</v>
      </c>
      <c r="J123" s="65" t="e">
        <f aca="false">-J122*WHT_Dividends</f>
        <v>#VALUE!</v>
      </c>
      <c r="K123" s="65" t="e">
        <f aca="false">-K122*WHT_Dividends</f>
        <v>#VALUE!</v>
      </c>
      <c r="L123" s="65" t="e">
        <f aca="false">-L122*WHT_Dividends</f>
        <v>#VALUE!</v>
      </c>
      <c r="M123" s="65" t="e">
        <f aca="false">-M122*WHT_Dividends</f>
        <v>#VALUE!</v>
      </c>
      <c r="N123" s="65" t="e">
        <f aca="false">-N122*WHT_Dividends</f>
        <v>#VALUE!</v>
      </c>
      <c r="O123" s="65" t="e">
        <f aca="false">-O122*WHT_Dividends</f>
        <v>#VALUE!</v>
      </c>
      <c r="P123" s="65" t="e">
        <f aca="false">-P122*WHT_Dividends</f>
        <v>#VALUE!</v>
      </c>
      <c r="Q123" s="65" t="e">
        <f aca="false">-Q122*WHT_Dividends</f>
        <v>#VALUE!</v>
      </c>
      <c r="R123" s="65" t="e">
        <f aca="false">-R122*WHT_Dividends</f>
        <v>#VALUE!</v>
      </c>
      <c r="S123" s="65" t="e">
        <f aca="false">-S122*WHT_Dividends</f>
        <v>#VALUE!</v>
      </c>
      <c r="T123" s="65" t="e">
        <f aca="false">-T122*WHT_Dividends</f>
        <v>#VALUE!</v>
      </c>
      <c r="U123" s="65" t="e">
        <f aca="false">-U122*WHT_Dividends</f>
        <v>#VALUE!</v>
      </c>
      <c r="V123" s="65" t="e">
        <f aca="false">-V122*WHT_Dividends</f>
        <v>#VALUE!</v>
      </c>
      <c r="W123" s="65" t="e">
        <f aca="false">-W122*WHT_Dividends</f>
        <v>#VALUE!</v>
      </c>
      <c r="X123" s="65" t="e">
        <f aca="false">-X122*WHT_Dividends</f>
        <v>#VALUE!</v>
      </c>
      <c r="Y123" s="65" t="e">
        <f aca="false">-Y122*WHT_Dividends</f>
        <v>#VALUE!</v>
      </c>
      <c r="Z123" s="65" t="e">
        <f aca="false">-Z122*WHT_Dividends</f>
        <v>#VALUE!</v>
      </c>
      <c r="AA123" s="65" t="e">
        <f aca="false">-AA122*WHT_Dividends</f>
        <v>#VALUE!</v>
      </c>
      <c r="AB123" s="65" t="e">
        <f aca="false">-AB122*WHT_Dividends</f>
        <v>#VALUE!</v>
      </c>
      <c r="AC123" s="65" t="e">
        <f aca="false">-AC122*WHT_Dividends</f>
        <v>#VALUE!</v>
      </c>
      <c r="AD123" s="65" t="e">
        <f aca="false">-AD122*WHT_Dividends</f>
        <v>#VALUE!</v>
      </c>
      <c r="AE123" s="65" t="e">
        <f aca="false">-AE122*WHT_Dividends</f>
        <v>#VALUE!</v>
      </c>
      <c r="AF123" s="65" t="e">
        <f aca="false">-AF122*WHT_Dividends</f>
        <v>#VALUE!</v>
      </c>
      <c r="AG123" s="65" t="e">
        <f aca="false">-AG122*WHT_Dividends</f>
        <v>#VALUE!</v>
      </c>
      <c r="AH123" s="65" t="e">
        <f aca="false">-AH122*WHT_Dividends</f>
        <v>#VALUE!</v>
      </c>
      <c r="AI123" s="65" t="e">
        <f aca="false">-AI122*WHT_Dividends</f>
        <v>#VALUE!</v>
      </c>
      <c r="AJ123" s="65" t="e">
        <f aca="false">-AJ122*WHT_Dividends</f>
        <v>#VALUE!</v>
      </c>
      <c r="AK123" s="65" t="e">
        <f aca="false">-AK122*WHT_Dividends</f>
        <v>#VALUE!</v>
      </c>
      <c r="AL123" s="65" t="e">
        <f aca="false">-AL122*WHT_Dividends</f>
        <v>#VALUE!</v>
      </c>
    </row>
    <row r="124" customFormat="false" ht="15" hidden="false" customHeight="false" outlineLevel="0" collapsed="false">
      <c r="C124" s="117" t="s">
        <v>275</v>
      </c>
      <c r="D124" s="117"/>
      <c r="E124" s="118"/>
      <c r="F124" s="124"/>
      <c r="G124" s="124"/>
      <c r="H124" s="119"/>
      <c r="I124" s="124" t="e">
        <f aca="false">SUM(I110:I123)</f>
        <v>#VALUE!</v>
      </c>
      <c r="J124" s="124" t="e">
        <f aca="false">SUM(J110:J123)</f>
        <v>#VALUE!</v>
      </c>
      <c r="K124" s="124" t="e">
        <f aca="false">SUM(K110:K123)</f>
        <v>#VALUE!</v>
      </c>
      <c r="L124" s="124" t="e">
        <f aca="false">SUM(L110:L123)</f>
        <v>#VALUE!</v>
      </c>
      <c r="M124" s="124" t="e">
        <f aca="false">SUM(M110:M123)</f>
        <v>#VALUE!</v>
      </c>
      <c r="N124" s="124" t="e">
        <f aca="false">SUM(N110:N123)</f>
        <v>#VALUE!</v>
      </c>
      <c r="O124" s="124" t="e">
        <f aca="false">SUM(O110:O123)</f>
        <v>#VALUE!</v>
      </c>
      <c r="P124" s="124" t="e">
        <f aca="false">SUM(P110:P123)</f>
        <v>#VALUE!</v>
      </c>
      <c r="Q124" s="124" t="e">
        <f aca="false">SUM(Q110:Q123)</f>
        <v>#VALUE!</v>
      </c>
      <c r="R124" s="124" t="e">
        <f aca="false">SUM(R110:R123)</f>
        <v>#VALUE!</v>
      </c>
      <c r="S124" s="124" t="e">
        <f aca="false">SUM(S110:S123)</f>
        <v>#VALUE!</v>
      </c>
      <c r="T124" s="124" t="e">
        <f aca="false">SUM(T110:T123)</f>
        <v>#VALUE!</v>
      </c>
      <c r="U124" s="124" t="e">
        <f aca="false">SUM(U110:U123)</f>
        <v>#VALUE!</v>
      </c>
      <c r="V124" s="124" t="e">
        <f aca="false">SUM(V110:V123)</f>
        <v>#VALUE!</v>
      </c>
      <c r="W124" s="124" t="e">
        <f aca="false">SUM(W110:W123)</f>
        <v>#VALUE!</v>
      </c>
      <c r="X124" s="124" t="e">
        <f aca="false">SUM(X110:X123)</f>
        <v>#VALUE!</v>
      </c>
      <c r="Y124" s="124" t="e">
        <f aca="false">SUM(Y110:Y123)</f>
        <v>#VALUE!</v>
      </c>
      <c r="Z124" s="124" t="e">
        <f aca="false">SUM(Z110:Z123)</f>
        <v>#VALUE!</v>
      </c>
      <c r="AA124" s="124" t="e">
        <f aca="false">SUM(AA110:AA123)</f>
        <v>#VALUE!</v>
      </c>
      <c r="AB124" s="124" t="e">
        <f aca="false">SUM(AB110:AB123)</f>
        <v>#VALUE!</v>
      </c>
      <c r="AC124" s="124" t="e">
        <f aca="false">SUM(AC110:AC123)</f>
        <v>#VALUE!</v>
      </c>
      <c r="AD124" s="124" t="e">
        <f aca="false">SUM(AD110:AD123)</f>
        <v>#VALUE!</v>
      </c>
      <c r="AE124" s="124" t="e">
        <f aca="false">SUM(AE110:AE123)</f>
        <v>#VALUE!</v>
      </c>
      <c r="AF124" s="124" t="e">
        <f aca="false">SUM(AF110:AF123)</f>
        <v>#VALUE!</v>
      </c>
      <c r="AG124" s="124" t="e">
        <f aca="false">SUM(AG110:AG123)</f>
        <v>#VALUE!</v>
      </c>
      <c r="AH124" s="124" t="e">
        <f aca="false">SUM(AH110:AH123)</f>
        <v>#VALUE!</v>
      </c>
      <c r="AI124" s="124" t="e">
        <f aca="false">SUM(AI110:AI123)</f>
        <v>#VALUE!</v>
      </c>
      <c r="AJ124" s="124" t="e">
        <f aca="false">SUM(AJ110:AJ123)</f>
        <v>#VALUE!</v>
      </c>
      <c r="AK124" s="124" t="e">
        <f aca="false">SUM(AK110:AK123)</f>
        <v>#VALUE!</v>
      </c>
      <c r="AL124" s="124" t="e">
        <f aca="false">SUM(AL110:AL123)</f>
        <v>#VALUE!</v>
      </c>
    </row>
    <row r="125" customFormat="false" ht="15" hidden="false" customHeight="false" outlineLevel="0" collapsed="false">
      <c r="E125" s="0"/>
      <c r="G125" s="135"/>
      <c r="H125" s="0"/>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row>
    <row r="126" customFormat="false" ht="15" hidden="false" customHeight="false" outlineLevel="0" collapsed="false">
      <c r="C126" s="0" t="str">
        <f aca="false">C150</f>
        <v>supplier cash flow, excl cash from bridge</v>
      </c>
      <c r="E126" s="0"/>
      <c r="G126" s="137" t="e">
        <f aca="false">SUM(I126:AL126)</f>
        <v>#VALUE!</v>
      </c>
      <c r="H126" s="0"/>
      <c r="I126" s="65" t="e">
        <f aca="false">I122+I121</f>
        <v>#VALUE!</v>
      </c>
      <c r="J126" s="65" t="e">
        <f aca="false">J122+J121</f>
        <v>#VALUE!</v>
      </c>
      <c r="K126" s="65" t="e">
        <f aca="false">K122+K121</f>
        <v>#VALUE!</v>
      </c>
      <c r="L126" s="65" t="e">
        <f aca="false">L122+L121</f>
        <v>#VALUE!</v>
      </c>
      <c r="M126" s="65" t="e">
        <f aca="false">M122+M121</f>
        <v>#VALUE!</v>
      </c>
      <c r="N126" s="65" t="e">
        <f aca="false">N122+N121</f>
        <v>#VALUE!</v>
      </c>
      <c r="O126" s="65" t="e">
        <f aca="false">O122+O121</f>
        <v>#VALUE!</v>
      </c>
      <c r="P126" s="65" t="e">
        <f aca="false">P122+P121</f>
        <v>#VALUE!</v>
      </c>
      <c r="Q126" s="65" t="e">
        <f aca="false">Q122+Q121</f>
        <v>#VALUE!</v>
      </c>
      <c r="R126" s="65" t="e">
        <f aca="false">R122+R121</f>
        <v>#VALUE!</v>
      </c>
      <c r="S126" s="65" t="e">
        <f aca="false">S122+S121</f>
        <v>#VALUE!</v>
      </c>
      <c r="T126" s="65" t="e">
        <f aca="false">T122+T121</f>
        <v>#VALUE!</v>
      </c>
      <c r="U126" s="65" t="e">
        <f aca="false">U122+U121</f>
        <v>#VALUE!</v>
      </c>
      <c r="V126" s="65" t="e">
        <f aca="false">V122+V121</f>
        <v>#VALUE!</v>
      </c>
      <c r="W126" s="65" t="e">
        <f aca="false">W122+W121</f>
        <v>#VALUE!</v>
      </c>
      <c r="X126" s="65" t="e">
        <f aca="false">X122+X121</f>
        <v>#VALUE!</v>
      </c>
      <c r="Y126" s="65" t="e">
        <f aca="false">Y122+Y121</f>
        <v>#VALUE!</v>
      </c>
      <c r="Z126" s="65" t="e">
        <f aca="false">Z122+Z121</f>
        <v>#VALUE!</v>
      </c>
      <c r="AA126" s="65" t="e">
        <f aca="false">AA122+AA121</f>
        <v>#VALUE!</v>
      </c>
      <c r="AB126" s="65" t="e">
        <f aca="false">AB122+AB121</f>
        <v>#VALUE!</v>
      </c>
      <c r="AC126" s="65" t="e">
        <f aca="false">AC122+AC121</f>
        <v>#VALUE!</v>
      </c>
      <c r="AD126" s="65" t="e">
        <f aca="false">AD122+AD121</f>
        <v>#VALUE!</v>
      </c>
      <c r="AE126" s="65" t="e">
        <f aca="false">AE122+AE121</f>
        <v>#VALUE!</v>
      </c>
      <c r="AF126" s="65" t="e">
        <f aca="false">AF122+AF121</f>
        <v>#VALUE!</v>
      </c>
      <c r="AG126" s="65" t="e">
        <f aca="false">AG122+AG121</f>
        <v>#VALUE!</v>
      </c>
      <c r="AH126" s="65" t="e">
        <f aca="false">AH122+AH121</f>
        <v>#VALUE!</v>
      </c>
      <c r="AI126" s="65" t="e">
        <f aca="false">AI122+AI121</f>
        <v>#VALUE!</v>
      </c>
      <c r="AJ126" s="65" t="e">
        <f aca="false">AJ122+AJ121</f>
        <v>#VALUE!</v>
      </c>
      <c r="AK126" s="65" t="e">
        <f aca="false">AK122+AK121</f>
        <v>#VALUE!</v>
      </c>
      <c r="AL126" s="65" t="e">
        <f aca="false">AL122+AL121</f>
        <v>#VALUE!</v>
      </c>
    </row>
    <row r="127" customFormat="false" ht="15" hidden="false" customHeight="false" outlineLevel="0" collapsed="false">
      <c r="C127" s="0" t="s">
        <v>276</v>
      </c>
      <c r="E127" s="0"/>
      <c r="G127" s="138" t="e">
        <f aca="false">G126+SUM(I115:AL119)</f>
        <v>#VALUE!</v>
      </c>
      <c r="H127" s="0"/>
      <c r="I127" s="65" t="e">
        <f aca="false">I126+SUM(I115:I119)</f>
        <v>#VALUE!</v>
      </c>
      <c r="J127" s="65" t="e">
        <f aca="false">J126+SUM(J115:J119)</f>
        <v>#VALUE!</v>
      </c>
      <c r="K127" s="65" t="e">
        <f aca="false">K126+SUM(K115:K119)</f>
        <v>#VALUE!</v>
      </c>
      <c r="L127" s="65" t="e">
        <f aca="false">L126+SUM(L115:L119)</f>
        <v>#VALUE!</v>
      </c>
      <c r="M127" s="65" t="e">
        <f aca="false">M126+SUM(M115:M119)</f>
        <v>#VALUE!</v>
      </c>
      <c r="N127" s="65" t="e">
        <f aca="false">N126+SUM(N115:N119)</f>
        <v>#VALUE!</v>
      </c>
      <c r="O127" s="65" t="e">
        <f aca="false">O126+SUM(O115:O119)</f>
        <v>#VALUE!</v>
      </c>
      <c r="P127" s="65" t="e">
        <f aca="false">P126+SUM(P115:P119)</f>
        <v>#VALUE!</v>
      </c>
      <c r="Q127" s="65" t="e">
        <f aca="false">Q126+SUM(Q115:Q119)</f>
        <v>#VALUE!</v>
      </c>
      <c r="R127" s="65" t="e">
        <f aca="false">R126+SUM(R115:R119)</f>
        <v>#VALUE!</v>
      </c>
      <c r="S127" s="65" t="e">
        <f aca="false">S126+SUM(S115:S119)</f>
        <v>#VALUE!</v>
      </c>
      <c r="T127" s="65" t="e">
        <f aca="false">T126+SUM(T115:T119)</f>
        <v>#VALUE!</v>
      </c>
      <c r="U127" s="65" t="e">
        <f aca="false">U126+SUM(U115:U119)</f>
        <v>#VALUE!</v>
      </c>
      <c r="V127" s="65" t="e">
        <f aca="false">V126+SUM(V115:V119)</f>
        <v>#VALUE!</v>
      </c>
      <c r="W127" s="65" t="e">
        <f aca="false">W126+SUM(W115:W119)</f>
        <v>#VALUE!</v>
      </c>
      <c r="X127" s="65" t="e">
        <f aca="false">X126+SUM(X115:X119)</f>
        <v>#VALUE!</v>
      </c>
      <c r="Y127" s="65" t="e">
        <f aca="false">Y126+SUM(Y115:Y119)</f>
        <v>#VALUE!</v>
      </c>
      <c r="Z127" s="65" t="e">
        <f aca="false">Z126+SUM(Z115:Z119)</f>
        <v>#VALUE!</v>
      </c>
      <c r="AA127" s="65" t="e">
        <f aca="false">AA126+SUM(AA115:AA119)</f>
        <v>#VALUE!</v>
      </c>
      <c r="AB127" s="65" t="e">
        <f aca="false">AB126+SUM(AB115:AB119)</f>
        <v>#VALUE!</v>
      </c>
      <c r="AC127" s="65" t="e">
        <f aca="false">AC126+SUM(AC115:AC119)</f>
        <v>#VALUE!</v>
      </c>
      <c r="AD127" s="65" t="e">
        <f aca="false">AD126+SUM(AD115:AD119)</f>
        <v>#VALUE!</v>
      </c>
      <c r="AE127" s="65" t="e">
        <f aca="false">AE126+SUM(AE115:AE119)</f>
        <v>#VALUE!</v>
      </c>
      <c r="AF127" s="65" t="e">
        <f aca="false">AF126+SUM(AF115:AF119)</f>
        <v>#VALUE!</v>
      </c>
      <c r="AG127" s="65" t="e">
        <f aca="false">AG126+SUM(AG115:AG119)</f>
        <v>#VALUE!</v>
      </c>
      <c r="AH127" s="65" t="e">
        <f aca="false">AH126+SUM(AH115:AH119)</f>
        <v>#VALUE!</v>
      </c>
      <c r="AI127" s="65" t="e">
        <f aca="false">AI126+SUM(AI115:AI119)</f>
        <v>#VALUE!</v>
      </c>
      <c r="AJ127" s="65" t="e">
        <f aca="false">AJ126+SUM(AJ115:AJ119)</f>
        <v>#VALUE!</v>
      </c>
      <c r="AK127" s="65" t="e">
        <f aca="false">AK126+SUM(AK115:AK119)</f>
        <v>#VALUE!</v>
      </c>
      <c r="AL127" s="65" t="e">
        <f aca="false">AL126+SUM(AL115:AL119)</f>
        <v>#VALUE!</v>
      </c>
    </row>
    <row r="128" customFormat="false" ht="15" hidden="false" customHeight="false" outlineLevel="0" collapsed="false">
      <c r="C128" s="0" t="s">
        <v>277</v>
      </c>
      <c r="E128" s="0"/>
      <c r="G128" s="138" t="e">
        <f aca="false">-SUM(I103:AL103,I100:AL100)</f>
        <v>#VALUE!</v>
      </c>
      <c r="H128" s="0"/>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row>
    <row r="129" customFormat="false" ht="15" hidden="false" customHeight="false" outlineLevel="0" collapsed="false">
      <c r="E129" s="0"/>
      <c r="G129" s="135"/>
      <c r="H129" s="0"/>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row>
    <row r="130" customFormat="false" ht="15" hidden="false" customHeight="false" outlineLevel="0" collapsed="false">
      <c r="C130" s="0" t="s">
        <v>278</v>
      </c>
      <c r="E130" s="104" t="s">
        <v>34</v>
      </c>
      <c r="G130" s="135" t="e">
        <f aca="false">IRR(I124:AL124)</f>
        <v>#VALUE!</v>
      </c>
      <c r="H130" s="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row>
    <row r="131" s="65" customFormat="true" ht="15" hidden="false" customHeight="false" outlineLevel="0" collapsed="false">
      <c r="A131" s="0"/>
      <c r="B131" s="0"/>
      <c r="C131" s="0"/>
      <c r="D131" s="0"/>
      <c r="E131" s="0"/>
      <c r="F131" s="0"/>
      <c r="G131" s="135"/>
      <c r="H131" s="0"/>
      <c r="J131" s="0"/>
    </row>
    <row r="132" customFormat="false" ht="15" hidden="false" customHeight="false" outlineLevel="0" collapsed="false">
      <c r="C132" s="2" t="s">
        <v>279</v>
      </c>
      <c r="E132" s="0"/>
      <c r="G132" s="65"/>
      <c r="H132" s="0"/>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row>
    <row r="133" customFormat="false" ht="15" hidden="false" customHeight="false" outlineLevel="0" collapsed="false">
      <c r="C133" s="0" t="s">
        <v>280</v>
      </c>
      <c r="E133" s="0"/>
      <c r="G133" s="139"/>
      <c r="H133" s="0"/>
      <c r="I133" s="65" t="e">
        <f aca="false">-((Funding!$H$23+Funding!$H$24)-Equity_stepdown*(Equity_stepdown_duration&lt;I8))*I100</f>
        <v>#NAME?</v>
      </c>
      <c r="J133" s="65" t="e">
        <f aca="false">-((Funding!$H$23+Funding!$H$24)-Equity_stepdown*(Equity_stepdown_duration&lt;J8))*J100</f>
        <v>#NAME?</v>
      </c>
      <c r="K133" s="65" t="e">
        <f aca="false">-((Funding!$H$23+Funding!$H$24)-Equity_stepdown*(Equity_stepdown_duration&lt;K8))*K100</f>
        <v>#NAME?</v>
      </c>
      <c r="L133" s="65" t="e">
        <f aca="false">-((Funding!$H$23+Funding!$H$24)-Equity_stepdown*(Equity_stepdown_duration&lt;L8))*L100</f>
        <v>#NAME?</v>
      </c>
      <c r="M133" s="65" t="e">
        <f aca="false">-((Funding!$H$23+Funding!$H$24)-Equity_stepdown*(Equity_stepdown_duration&lt;M8))*M100</f>
        <v>#NAME?</v>
      </c>
      <c r="N133" s="65" t="e">
        <f aca="false">-((Funding!$H$23+Funding!$H$24)-Equity_stepdown*(Equity_stepdown_duration&lt;N8))*N100</f>
        <v>#NAME?</v>
      </c>
      <c r="O133" s="65" t="e">
        <f aca="false">-((Funding!$H$23+Funding!$H$24)-Equity_stepdown*(Equity_stepdown_duration&lt;O8))*O100</f>
        <v>#NAME?</v>
      </c>
      <c r="P133" s="65" t="e">
        <f aca="false">-((Funding!$H$23+Funding!$H$24)-Equity_stepdown*(Equity_stepdown_duration&lt;P8))*P100</f>
        <v>#NAME?</v>
      </c>
      <c r="Q133" s="65" t="e">
        <f aca="false">-((Funding!$H$23+Funding!$H$24)-Equity_stepdown*(Equity_stepdown_duration&lt;Q8))*Q100</f>
        <v>#NAME?</v>
      </c>
      <c r="R133" s="65" t="e">
        <f aca="false">-((Funding!$H$23+Funding!$H$24)-Equity_stepdown*(Equity_stepdown_duration&lt;R8))*R100</f>
        <v>#NAME?</v>
      </c>
      <c r="S133" s="65" t="e">
        <f aca="false">-((Funding!$H$23+Funding!$H$24)-Equity_stepdown*(Equity_stepdown_duration&lt;S8))*S100</f>
        <v>#NAME?</v>
      </c>
      <c r="T133" s="65" t="e">
        <f aca="false">-((Funding!$H$23+Funding!$H$24)-Equity_stepdown*(Equity_stepdown_duration&lt;T8))*T100</f>
        <v>#NAME?</v>
      </c>
      <c r="U133" s="65" t="e">
        <f aca="false">-((Funding!$H$23+Funding!$H$24)-Equity_stepdown*(Equity_stepdown_duration&lt;U8))*U100</f>
        <v>#NAME?</v>
      </c>
      <c r="V133" s="65" t="e">
        <f aca="false">-((Funding!$H$23+Funding!$H$24)-Equity_stepdown*(Equity_stepdown_duration&lt;V8))*V100</f>
        <v>#NAME?</v>
      </c>
      <c r="W133" s="65" t="e">
        <f aca="false">-((Funding!$H$23+Funding!$H$24)-Equity_stepdown*(Equity_stepdown_duration&lt;W8))*W100</f>
        <v>#NAME?</v>
      </c>
      <c r="X133" s="65" t="e">
        <f aca="false">-((Funding!$H$23+Funding!$H$24)-Equity_stepdown*(Equity_stepdown_duration&lt;X8))*X100</f>
        <v>#NAME?</v>
      </c>
      <c r="Y133" s="65" t="e">
        <f aca="false">-((Funding!$H$23+Funding!$H$24)-Equity_stepdown*(Equity_stepdown_duration&lt;Y8))*Y100</f>
        <v>#NAME?</v>
      </c>
      <c r="Z133" s="65" t="e">
        <f aca="false">-((Funding!$H$23+Funding!$H$24)-Equity_stepdown*(Equity_stepdown_duration&lt;Z8))*Z100</f>
        <v>#NAME?</v>
      </c>
      <c r="AA133" s="65" t="e">
        <f aca="false">-((Funding!$H$23+Funding!$H$24)-Equity_stepdown*(Equity_stepdown_duration&lt;AA8))*AA100</f>
        <v>#NAME?</v>
      </c>
      <c r="AB133" s="65" t="e">
        <f aca="false">-((Funding!$H$23+Funding!$H$24)-Equity_stepdown*(Equity_stepdown_duration&lt;AB8))*AB100</f>
        <v>#NAME?</v>
      </c>
      <c r="AC133" s="65" t="e">
        <f aca="false">-((Funding!$H$23+Funding!$H$24)-Equity_stepdown*(Equity_stepdown_duration&lt;AC8))*AC100</f>
        <v>#NAME?</v>
      </c>
      <c r="AD133" s="65" t="e">
        <f aca="false">-((Funding!$H$23+Funding!$H$24)-Equity_stepdown*(Equity_stepdown_duration&lt;AD8))*AD100</f>
        <v>#NAME?</v>
      </c>
      <c r="AE133" s="65" t="e">
        <f aca="false">-((Funding!$H$23+Funding!$H$24)-Equity_stepdown*(Equity_stepdown_duration&lt;AE8))*AE100</f>
        <v>#NAME?</v>
      </c>
      <c r="AF133" s="65" t="e">
        <f aca="false">-((Funding!$H$23+Funding!$H$24)-Equity_stepdown*(Equity_stepdown_duration&lt;AF8))*AF100</f>
        <v>#NAME?</v>
      </c>
      <c r="AG133" s="65" t="e">
        <f aca="false">-((Funding!$H$23+Funding!$H$24)-Equity_stepdown*(Equity_stepdown_duration&lt;AG8))*AG100</f>
        <v>#NAME?</v>
      </c>
      <c r="AH133" s="65" t="e">
        <f aca="false">-((Funding!$H$23+Funding!$H$24)-Equity_stepdown*(Equity_stepdown_duration&lt;AH8))*AH100</f>
        <v>#NAME?</v>
      </c>
      <c r="AI133" s="65" t="e">
        <f aca="false">-((Funding!$H$23+Funding!$H$24)-Equity_stepdown*(Equity_stepdown_duration&lt;AI8))*AI100</f>
        <v>#NAME?</v>
      </c>
      <c r="AJ133" s="65" t="e">
        <f aca="false">-((Funding!$H$23+Funding!$H$24)-Equity_stepdown*(Equity_stepdown_duration&lt;AJ8))*AJ100</f>
        <v>#NAME?</v>
      </c>
      <c r="AK133" s="65" t="e">
        <f aca="false">-((Funding!$H$23+Funding!$H$24)-Equity_stepdown*(Equity_stepdown_duration&lt;AK8))*AK100</f>
        <v>#NAME?</v>
      </c>
      <c r="AL133" s="65" t="e">
        <f aca="false">-((Funding!$H$23+Funding!$H$24)-Equity_stepdown*(Equity_stepdown_duration&lt;AL8))*AL100</f>
        <v>#NAME?</v>
      </c>
    </row>
    <row r="134" customFormat="false" ht="15" hidden="false" customHeight="false" outlineLevel="0" collapsed="false">
      <c r="C134" s="0" t="s">
        <v>281</v>
      </c>
      <c r="E134" s="0"/>
      <c r="H134" s="0"/>
      <c r="I134" s="65" t="e">
        <f aca="false">-I103*((Funding!$H$23+Funding!$H$24)-Equity_stepdown*(Equity_stepdown_duration&lt;I8))</f>
        <v>#VALUE!</v>
      </c>
      <c r="J134" s="65" t="e">
        <f aca="false">-J103*((Funding!$H$23+Funding!$H$24)-Equity_stepdown*(Equity_stepdown_duration&lt;J8))</f>
        <v>#VALUE!</v>
      </c>
      <c r="K134" s="65" t="e">
        <f aca="false">-K103*((Funding!$H$23+Funding!$H$24)-Equity_stepdown*(Equity_stepdown_duration&lt;K8))</f>
        <v>#VALUE!</v>
      </c>
      <c r="L134" s="65" t="e">
        <f aca="false">-L103*((Funding!$H$23+Funding!$H$24)-Equity_stepdown*(Equity_stepdown_duration&lt;L8))</f>
        <v>#VALUE!</v>
      </c>
      <c r="M134" s="65" t="e">
        <f aca="false">-M103*((Funding!$H$23+Funding!$H$24)-Equity_stepdown*(Equity_stepdown_duration&lt;M8))</f>
        <v>#VALUE!</v>
      </c>
      <c r="N134" s="65" t="e">
        <f aca="false">-N103*((Funding!$H$23+Funding!$H$24)-Equity_stepdown*(Equity_stepdown_duration&lt;N8))</f>
        <v>#VALUE!</v>
      </c>
      <c r="O134" s="65" t="e">
        <f aca="false">-O103*((Funding!$H$23+Funding!$H$24)-Equity_stepdown*(Equity_stepdown_duration&lt;O8))</f>
        <v>#VALUE!</v>
      </c>
      <c r="P134" s="65" t="e">
        <f aca="false">-P103*((Funding!$H$23+Funding!$H$24)-Equity_stepdown*(Equity_stepdown_duration&lt;P8))</f>
        <v>#VALUE!</v>
      </c>
      <c r="Q134" s="65" t="e">
        <f aca="false">-Q103*((Funding!$H$23+Funding!$H$24)-Equity_stepdown*(Equity_stepdown_duration&lt;Q8))</f>
        <v>#VALUE!</v>
      </c>
      <c r="R134" s="65" t="e">
        <f aca="false">-R103*((Funding!$H$23+Funding!$H$24)-Equity_stepdown*(Equity_stepdown_duration&lt;R8))</f>
        <v>#VALUE!</v>
      </c>
      <c r="S134" s="65" t="e">
        <f aca="false">-S103*((Funding!$H$23+Funding!$H$24)-Equity_stepdown*(Equity_stepdown_duration&lt;S8))</f>
        <v>#VALUE!</v>
      </c>
      <c r="T134" s="65" t="e">
        <f aca="false">-T103*((Funding!$H$23+Funding!$H$24)-Equity_stepdown*(Equity_stepdown_duration&lt;T8))</f>
        <v>#VALUE!</v>
      </c>
      <c r="U134" s="65" t="e">
        <f aca="false">-U103*((Funding!$H$23+Funding!$H$24)-Equity_stepdown*(Equity_stepdown_duration&lt;U8))</f>
        <v>#VALUE!</v>
      </c>
      <c r="V134" s="65" t="e">
        <f aca="false">-V103*((Funding!$H$23+Funding!$H$24)-Equity_stepdown*(Equity_stepdown_duration&lt;V8))</f>
        <v>#VALUE!</v>
      </c>
      <c r="W134" s="65" t="e">
        <f aca="false">-W103*((Funding!$H$23+Funding!$H$24)-Equity_stepdown*(Equity_stepdown_duration&lt;W8))</f>
        <v>#VALUE!</v>
      </c>
      <c r="X134" s="65" t="e">
        <f aca="false">-X103*((Funding!$H$23+Funding!$H$24)-Equity_stepdown*(Equity_stepdown_duration&lt;X8))</f>
        <v>#VALUE!</v>
      </c>
      <c r="Y134" s="65" t="e">
        <f aca="false">-Y103*((Funding!$H$23+Funding!$H$24)-Equity_stepdown*(Equity_stepdown_duration&lt;Y8))</f>
        <v>#VALUE!</v>
      </c>
      <c r="Z134" s="65" t="e">
        <f aca="false">-Z103*((Funding!$H$23+Funding!$H$24)-Equity_stepdown*(Equity_stepdown_duration&lt;Z8))</f>
        <v>#VALUE!</v>
      </c>
      <c r="AA134" s="65" t="e">
        <f aca="false">-AA103*((Funding!$H$23+Funding!$H$24)-Equity_stepdown*(Equity_stepdown_duration&lt;AA8))</f>
        <v>#VALUE!</v>
      </c>
      <c r="AB134" s="65" t="e">
        <f aca="false">-AB103*((Funding!$H$23+Funding!$H$24)-Equity_stepdown*(Equity_stepdown_duration&lt;AB8))</f>
        <v>#VALUE!</v>
      </c>
      <c r="AC134" s="65" t="e">
        <f aca="false">-AC103*((Funding!$H$23+Funding!$H$24)-Equity_stepdown*(Equity_stepdown_duration&lt;AC8))</f>
        <v>#VALUE!</v>
      </c>
      <c r="AD134" s="65" t="e">
        <f aca="false">-AD103*((Funding!$H$23+Funding!$H$24)-Equity_stepdown*(Equity_stepdown_duration&lt;AD8))</f>
        <v>#VALUE!</v>
      </c>
      <c r="AE134" s="65" t="e">
        <f aca="false">-AE103*((Funding!$H$23+Funding!$H$24)-Equity_stepdown*(Equity_stepdown_duration&lt;AE8))</f>
        <v>#VALUE!</v>
      </c>
      <c r="AF134" s="65" t="e">
        <f aca="false">-AF103*((Funding!$H$23+Funding!$H$24)-Equity_stepdown*(Equity_stepdown_duration&lt;AF8))</f>
        <v>#VALUE!</v>
      </c>
      <c r="AG134" s="65" t="e">
        <f aca="false">-AG103*((Funding!$H$23+Funding!$H$24)-Equity_stepdown*(Equity_stepdown_duration&lt;AG8))</f>
        <v>#VALUE!</v>
      </c>
      <c r="AH134" s="65" t="e">
        <f aca="false">-AH103*((Funding!$H$23+Funding!$H$24)-Equity_stepdown*(Equity_stepdown_duration&lt;AH8))</f>
        <v>#VALUE!</v>
      </c>
      <c r="AI134" s="65" t="e">
        <f aca="false">-AI103*((Funding!$H$23+Funding!$H$24)-Equity_stepdown*(Equity_stepdown_duration&lt;AI8))</f>
        <v>#VALUE!</v>
      </c>
      <c r="AJ134" s="65" t="e">
        <f aca="false">-AJ103*((Funding!$H$23+Funding!$H$24)-Equity_stepdown*(Equity_stepdown_duration&lt;AJ8))</f>
        <v>#VALUE!</v>
      </c>
      <c r="AK134" s="65" t="e">
        <f aca="false">-AK103*((Funding!$H$23+Funding!$H$24)-Equity_stepdown*(Equity_stepdown_duration&lt;AK8))</f>
        <v>#VALUE!</v>
      </c>
      <c r="AL134" s="65" t="e">
        <f aca="false">-AL103*((Funding!$H$23+Funding!$H$24)-Equity_stepdown*(Equity_stepdown_duration&lt;AL8))</f>
        <v>#VALUE!</v>
      </c>
    </row>
    <row r="135" customFormat="false" ht="15" hidden="false" customHeight="false" outlineLevel="0" collapsed="false">
      <c r="C135" s="140" t="s">
        <v>282</v>
      </c>
      <c r="E135" s="0"/>
      <c r="H135" s="0"/>
      <c r="I135" s="65" t="e">
        <f aca="false">-I118</f>
        <v>#DIV/0!</v>
      </c>
      <c r="J135" s="65" t="e">
        <f aca="false">-J118</f>
        <v>#DIV/0!</v>
      </c>
      <c r="K135" s="65" t="e">
        <f aca="false">-K118</f>
        <v>#DIV/0!</v>
      </c>
      <c r="L135" s="65" t="e">
        <f aca="false">-L118</f>
        <v>#DIV/0!</v>
      </c>
      <c r="M135" s="65" t="e">
        <f aca="false">-M118</f>
        <v>#DIV/0!</v>
      </c>
      <c r="N135" s="65" t="e">
        <f aca="false">-N118</f>
        <v>#DIV/0!</v>
      </c>
      <c r="O135" s="65" t="e">
        <f aca="false">-O118</f>
        <v>#DIV/0!</v>
      </c>
      <c r="P135" s="65" t="e">
        <f aca="false">-P118</f>
        <v>#DIV/0!</v>
      </c>
      <c r="Q135" s="65" t="e">
        <f aca="false">-Q118</f>
        <v>#DIV/0!</v>
      </c>
      <c r="R135" s="65" t="e">
        <f aca="false">-R118</f>
        <v>#DIV/0!</v>
      </c>
      <c r="S135" s="65" t="e">
        <f aca="false">-S118</f>
        <v>#DIV/0!</v>
      </c>
      <c r="T135" s="65" t="e">
        <f aca="false">-T118</f>
        <v>#DIV/0!</v>
      </c>
      <c r="U135" s="65" t="e">
        <f aca="false">-U118</f>
        <v>#DIV/0!</v>
      </c>
      <c r="V135" s="65" t="e">
        <f aca="false">-V118</f>
        <v>#DIV/0!</v>
      </c>
      <c r="W135" s="65" t="e">
        <f aca="false">-W118</f>
        <v>#DIV/0!</v>
      </c>
      <c r="X135" s="65" t="e">
        <f aca="false">-X118</f>
        <v>#DIV/0!</v>
      </c>
      <c r="Y135" s="65" t="e">
        <f aca="false">-Y118</f>
        <v>#DIV/0!</v>
      </c>
      <c r="Z135" s="65" t="e">
        <f aca="false">-Z118</f>
        <v>#DIV/0!</v>
      </c>
      <c r="AA135" s="65" t="e">
        <f aca="false">-AA118</f>
        <v>#DIV/0!</v>
      </c>
      <c r="AB135" s="65" t="e">
        <f aca="false">-AB118</f>
        <v>#DIV/0!</v>
      </c>
      <c r="AC135" s="65" t="e">
        <f aca="false">-AC118</f>
        <v>#DIV/0!</v>
      </c>
      <c r="AD135" s="65" t="e">
        <f aca="false">-AD118</f>
        <v>#DIV/0!</v>
      </c>
      <c r="AE135" s="65" t="e">
        <f aca="false">-AE118</f>
        <v>#DIV/0!</v>
      </c>
      <c r="AF135" s="65" t="e">
        <f aca="false">-AF118</f>
        <v>#DIV/0!</v>
      </c>
      <c r="AG135" s="65" t="e">
        <f aca="false">-AG118</f>
        <v>#DIV/0!</v>
      </c>
      <c r="AH135" s="65" t="e">
        <f aca="false">-AH118</f>
        <v>#DIV/0!</v>
      </c>
      <c r="AI135" s="65" t="e">
        <f aca="false">-AI118</f>
        <v>#DIV/0!</v>
      </c>
      <c r="AJ135" s="65" t="e">
        <f aca="false">-AJ118</f>
        <v>#DIV/0!</v>
      </c>
      <c r="AK135" s="65" t="e">
        <f aca="false">-AK118</f>
        <v>#DIV/0!</v>
      </c>
      <c r="AL135" s="65" t="e">
        <f aca="false">-AL118</f>
        <v>#DIV/0!</v>
      </c>
    </row>
    <row r="136" customFormat="false" ht="15" hidden="false" customHeight="false" outlineLevel="0" collapsed="false">
      <c r="C136" s="140" t="s">
        <v>283</v>
      </c>
      <c r="E136" s="0"/>
      <c r="H136" s="0"/>
      <c r="I136" s="65" t="e">
        <f aca="false">-I119</f>
        <v>#DIV/0!</v>
      </c>
      <c r="J136" s="65" t="e">
        <f aca="false">-J119</f>
        <v>#VALUE!</v>
      </c>
      <c r="K136" s="65" t="e">
        <f aca="false">-K119</f>
        <v>#VALUE!</v>
      </c>
      <c r="L136" s="65" t="e">
        <f aca="false">-L119</f>
        <v>#VALUE!</v>
      </c>
      <c r="M136" s="65" t="e">
        <f aca="false">-M119</f>
        <v>#VALUE!</v>
      </c>
      <c r="N136" s="65" t="e">
        <f aca="false">-N119</f>
        <v>#VALUE!</v>
      </c>
      <c r="O136" s="65" t="e">
        <f aca="false">-O119</f>
        <v>#VALUE!</v>
      </c>
      <c r="P136" s="65" t="e">
        <f aca="false">-P119</f>
        <v>#VALUE!</v>
      </c>
      <c r="Q136" s="65" t="e">
        <f aca="false">-Q119</f>
        <v>#VALUE!</v>
      </c>
      <c r="R136" s="65" t="e">
        <f aca="false">-R119</f>
        <v>#VALUE!</v>
      </c>
      <c r="S136" s="65" t="e">
        <f aca="false">-S119</f>
        <v>#VALUE!</v>
      </c>
      <c r="T136" s="65" t="e">
        <f aca="false">-T119</f>
        <v>#VALUE!</v>
      </c>
      <c r="U136" s="65" t="e">
        <f aca="false">-U119</f>
        <v>#VALUE!</v>
      </c>
      <c r="V136" s="65" t="e">
        <f aca="false">-V119</f>
        <v>#VALUE!</v>
      </c>
      <c r="W136" s="65" t="e">
        <f aca="false">-W119</f>
        <v>#VALUE!</v>
      </c>
      <c r="X136" s="65" t="e">
        <f aca="false">-X119</f>
        <v>#VALUE!</v>
      </c>
      <c r="Y136" s="65" t="e">
        <f aca="false">-Y119</f>
        <v>#VALUE!</v>
      </c>
      <c r="Z136" s="65" t="e">
        <f aca="false">-Z119</f>
        <v>#VALUE!</v>
      </c>
      <c r="AA136" s="65" t="e">
        <f aca="false">-AA119</f>
        <v>#VALUE!</v>
      </c>
      <c r="AB136" s="65" t="e">
        <f aca="false">-AB119</f>
        <v>#VALUE!</v>
      </c>
      <c r="AC136" s="65" t="e">
        <f aca="false">-AC119</f>
        <v>#VALUE!</v>
      </c>
      <c r="AD136" s="65" t="e">
        <f aca="false">-AD119</f>
        <v>#VALUE!</v>
      </c>
      <c r="AE136" s="65" t="e">
        <f aca="false">-AE119</f>
        <v>#VALUE!</v>
      </c>
      <c r="AF136" s="65" t="e">
        <f aca="false">-AF119</f>
        <v>#VALUE!</v>
      </c>
      <c r="AG136" s="65" t="e">
        <f aca="false">-AG119</f>
        <v>#VALUE!</v>
      </c>
      <c r="AH136" s="65" t="e">
        <f aca="false">-AH119</f>
        <v>#VALUE!</v>
      </c>
      <c r="AI136" s="65" t="e">
        <f aca="false">-AI119</f>
        <v>#VALUE!</v>
      </c>
      <c r="AJ136" s="65" t="e">
        <f aca="false">-AJ119</f>
        <v>#VALUE!</v>
      </c>
      <c r="AK136" s="65" t="e">
        <f aca="false">-AK119</f>
        <v>#VALUE!</v>
      </c>
      <c r="AL136" s="65" t="e">
        <f aca="false">-AL119</f>
        <v>#VALUE!</v>
      </c>
    </row>
    <row r="137" customFormat="false" ht="15" hidden="false" customHeight="false" outlineLevel="0" collapsed="false">
      <c r="C137" s="136" t="s">
        <v>284</v>
      </c>
      <c r="E137" s="0"/>
      <c r="H137" s="0"/>
      <c r="I137" s="65" t="e">
        <f aca="false">-WHT_Dividends_Local*I134</f>
        <v>#VALUE!</v>
      </c>
      <c r="J137" s="65" t="e">
        <f aca="false">-WHT_Dividends_Local*J134</f>
        <v>#VALUE!</v>
      </c>
      <c r="K137" s="65" t="e">
        <f aca="false">-WHT_Dividends_Local*K134</f>
        <v>#VALUE!</v>
      </c>
      <c r="L137" s="65" t="e">
        <f aca="false">-WHT_Dividends_Local*L134</f>
        <v>#VALUE!</v>
      </c>
      <c r="M137" s="65" t="e">
        <f aca="false">-WHT_Dividends_Local*M134</f>
        <v>#VALUE!</v>
      </c>
      <c r="N137" s="65" t="e">
        <f aca="false">-WHT_Dividends_Local*N134</f>
        <v>#VALUE!</v>
      </c>
      <c r="O137" s="65" t="e">
        <f aca="false">-WHT_Dividends_Local*O134</f>
        <v>#VALUE!</v>
      </c>
      <c r="P137" s="65" t="e">
        <f aca="false">-WHT_Dividends_Local*P134</f>
        <v>#VALUE!</v>
      </c>
      <c r="Q137" s="65" t="e">
        <f aca="false">-WHT_Dividends_Local*Q134</f>
        <v>#VALUE!</v>
      </c>
      <c r="R137" s="65" t="e">
        <f aca="false">-WHT_Dividends_Local*R134</f>
        <v>#VALUE!</v>
      </c>
      <c r="S137" s="65" t="e">
        <f aca="false">-WHT_Dividends_Local*S134</f>
        <v>#VALUE!</v>
      </c>
      <c r="T137" s="65" t="e">
        <f aca="false">-WHT_Dividends_Local*T134</f>
        <v>#VALUE!</v>
      </c>
      <c r="U137" s="65" t="e">
        <f aca="false">-WHT_Dividends_Local*U134</f>
        <v>#VALUE!</v>
      </c>
      <c r="V137" s="65" t="e">
        <f aca="false">-WHT_Dividends_Local*V134</f>
        <v>#VALUE!</v>
      </c>
      <c r="W137" s="65" t="e">
        <f aca="false">-WHT_Dividends_Local*W134</f>
        <v>#VALUE!</v>
      </c>
      <c r="X137" s="65" t="e">
        <f aca="false">-WHT_Dividends_Local*X134</f>
        <v>#VALUE!</v>
      </c>
      <c r="Y137" s="65" t="e">
        <f aca="false">-WHT_Dividends_Local*Y134</f>
        <v>#VALUE!</v>
      </c>
      <c r="Z137" s="65" t="e">
        <f aca="false">-WHT_Dividends_Local*Z134</f>
        <v>#VALUE!</v>
      </c>
      <c r="AA137" s="65" t="e">
        <f aca="false">-WHT_Dividends_Local*AA134</f>
        <v>#VALUE!</v>
      </c>
      <c r="AB137" s="65" t="e">
        <f aca="false">-WHT_Dividends_Local*AB134</f>
        <v>#VALUE!</v>
      </c>
      <c r="AC137" s="65" t="e">
        <f aca="false">-WHT_Dividends_Local*AC134</f>
        <v>#VALUE!</v>
      </c>
      <c r="AD137" s="65" t="e">
        <f aca="false">-WHT_Dividends_Local*AD134</f>
        <v>#VALUE!</v>
      </c>
      <c r="AE137" s="65" t="e">
        <f aca="false">-WHT_Dividends_Local*AE134</f>
        <v>#VALUE!</v>
      </c>
      <c r="AF137" s="65" t="e">
        <f aca="false">-WHT_Dividends_Local*AF134</f>
        <v>#VALUE!</v>
      </c>
      <c r="AG137" s="65" t="e">
        <f aca="false">-WHT_Dividends_Local*AG134</f>
        <v>#VALUE!</v>
      </c>
      <c r="AH137" s="65" t="e">
        <f aca="false">-WHT_Dividends_Local*AH134</f>
        <v>#VALUE!</v>
      </c>
      <c r="AI137" s="65" t="e">
        <f aca="false">-WHT_Dividends_Local*AI134</f>
        <v>#VALUE!</v>
      </c>
      <c r="AJ137" s="65" t="e">
        <f aca="false">-WHT_Dividends_Local*AJ134</f>
        <v>#VALUE!</v>
      </c>
      <c r="AK137" s="65" t="e">
        <f aca="false">-WHT_Dividends_Local*AK134</f>
        <v>#VALUE!</v>
      </c>
      <c r="AL137" s="65" t="e">
        <f aca="false">-WHT_Dividends_Local*AL134</f>
        <v>#VALUE!</v>
      </c>
    </row>
    <row r="138" customFormat="false" ht="15" hidden="false" customHeight="false" outlineLevel="0" collapsed="false">
      <c r="C138" s="117" t="s">
        <v>285</v>
      </c>
      <c r="D138" s="117"/>
      <c r="E138" s="118"/>
      <c r="F138" s="117"/>
      <c r="G138" s="124" t="e">
        <f aca="false">SUM(I138:AL138)</f>
        <v>#NAME?</v>
      </c>
      <c r="H138" s="119"/>
      <c r="I138" s="124" t="e">
        <f aca="false">SUM(I133:I137)</f>
        <v>#NAME?</v>
      </c>
      <c r="J138" s="124" t="e">
        <f aca="false">SUM(J133:J137)</f>
        <v>#NAME?</v>
      </c>
      <c r="K138" s="124" t="e">
        <f aca="false">SUM(K133:K137)</f>
        <v>#NAME?</v>
      </c>
      <c r="L138" s="124" t="e">
        <f aca="false">SUM(L133:L137)</f>
        <v>#NAME?</v>
      </c>
      <c r="M138" s="124" t="e">
        <f aca="false">SUM(M133:M137)</f>
        <v>#NAME?</v>
      </c>
      <c r="N138" s="124" t="e">
        <f aca="false">SUM(N133:N137)</f>
        <v>#NAME?</v>
      </c>
      <c r="O138" s="124" t="e">
        <f aca="false">SUM(O133:O137)</f>
        <v>#NAME?</v>
      </c>
      <c r="P138" s="124" t="e">
        <f aca="false">SUM(P133:P137)</f>
        <v>#NAME?</v>
      </c>
      <c r="Q138" s="124" t="e">
        <f aca="false">SUM(Q133:Q137)</f>
        <v>#NAME?</v>
      </c>
      <c r="R138" s="124" t="e">
        <f aca="false">SUM(R133:R137)</f>
        <v>#NAME?</v>
      </c>
      <c r="S138" s="124" t="e">
        <f aca="false">SUM(S133:S137)</f>
        <v>#NAME?</v>
      </c>
      <c r="T138" s="124" t="e">
        <f aca="false">SUM(T133:T137)</f>
        <v>#NAME?</v>
      </c>
      <c r="U138" s="124" t="e">
        <f aca="false">SUM(U133:U137)</f>
        <v>#NAME?</v>
      </c>
      <c r="V138" s="124" t="e">
        <f aca="false">SUM(V133:V137)</f>
        <v>#NAME?</v>
      </c>
      <c r="W138" s="124" t="e">
        <f aca="false">SUM(W133:W137)</f>
        <v>#NAME?</v>
      </c>
      <c r="X138" s="124" t="e">
        <f aca="false">SUM(X133:X137)</f>
        <v>#NAME?</v>
      </c>
      <c r="Y138" s="124" t="e">
        <f aca="false">SUM(Y133:Y137)</f>
        <v>#NAME?</v>
      </c>
      <c r="Z138" s="124" t="e">
        <f aca="false">SUM(Z133:Z137)</f>
        <v>#NAME?</v>
      </c>
      <c r="AA138" s="124" t="e">
        <f aca="false">SUM(AA133:AA137)</f>
        <v>#NAME?</v>
      </c>
      <c r="AB138" s="124" t="e">
        <f aca="false">SUM(AB133:AB137)</f>
        <v>#NAME?</v>
      </c>
      <c r="AC138" s="124" t="e">
        <f aca="false">SUM(AC133:AC137)</f>
        <v>#NAME?</v>
      </c>
      <c r="AD138" s="124" t="e">
        <f aca="false">SUM(AD133:AD137)</f>
        <v>#NAME?</v>
      </c>
      <c r="AE138" s="124" t="e">
        <f aca="false">SUM(AE133:AE137)</f>
        <v>#NAME?</v>
      </c>
      <c r="AF138" s="124" t="e">
        <f aca="false">SUM(AF133:AF137)</f>
        <v>#NAME?</v>
      </c>
      <c r="AG138" s="124" t="e">
        <f aca="false">SUM(AG133:AG137)</f>
        <v>#NAME?</v>
      </c>
      <c r="AH138" s="124" t="e">
        <f aca="false">SUM(AH133:AH137)</f>
        <v>#NAME?</v>
      </c>
      <c r="AI138" s="124" t="e">
        <f aca="false">SUM(AI133:AI137)</f>
        <v>#NAME?</v>
      </c>
      <c r="AJ138" s="124" t="e">
        <f aca="false">SUM(AJ133:AJ137)</f>
        <v>#NAME?</v>
      </c>
      <c r="AK138" s="124" t="e">
        <f aca="false">SUM(AK133:AK137)</f>
        <v>#NAME?</v>
      </c>
      <c r="AL138" s="124" t="e">
        <f aca="false">SUM(AL133:AL137)</f>
        <v>#NAME?</v>
      </c>
    </row>
    <row r="139" customFormat="false" ht="15" hidden="false" customHeight="false" outlineLevel="0" collapsed="false">
      <c r="E139" s="0"/>
    </row>
    <row r="140" customFormat="false" ht="15" hidden="false" customHeight="false" outlineLevel="0" collapsed="false">
      <c r="C140" s="0" t="s">
        <v>286</v>
      </c>
      <c r="E140" s="104" t="s">
        <v>72</v>
      </c>
      <c r="G140" s="65" t="e">
        <f aca="false">Land_Payment+Land_value</f>
        <v>#NAME?</v>
      </c>
    </row>
    <row r="141" customFormat="false" ht="15" hidden="false" customHeight="false" outlineLevel="0" collapsed="false">
      <c r="C141" s="0" t="s">
        <v>167</v>
      </c>
      <c r="E141" s="104" t="s">
        <v>72</v>
      </c>
      <c r="G141" s="65" t="e">
        <f aca="false">Land_Payment+Minority_Equity_value_excl_bridge+Bridge_Equity_value</f>
        <v>#NAME?</v>
      </c>
      <c r="I141" s="65" t="e">
        <f aca="false">-G141+Land_Payment</f>
        <v>#NAME?</v>
      </c>
      <c r="J141" s="65" t="e">
        <f aca="false">J138</f>
        <v>#NAME?</v>
      </c>
      <c r="K141" s="65" t="e">
        <f aca="false">K138</f>
        <v>#NAME?</v>
      </c>
      <c r="L141" s="65" t="e">
        <f aca="false">L138</f>
        <v>#NAME?</v>
      </c>
      <c r="M141" s="65" t="e">
        <f aca="false">M138</f>
        <v>#NAME?</v>
      </c>
      <c r="N141" s="65" t="e">
        <f aca="false">N138</f>
        <v>#NAME?</v>
      </c>
      <c r="O141" s="65" t="e">
        <f aca="false">O138</f>
        <v>#NAME?</v>
      </c>
      <c r="P141" s="65" t="e">
        <f aca="false">P138</f>
        <v>#NAME?</v>
      </c>
      <c r="Q141" s="65" t="e">
        <f aca="false">Q138</f>
        <v>#NAME?</v>
      </c>
      <c r="R141" s="65" t="e">
        <f aca="false">R138</f>
        <v>#NAME?</v>
      </c>
      <c r="S141" s="65" t="e">
        <f aca="false">S138</f>
        <v>#NAME?</v>
      </c>
      <c r="T141" s="65" t="e">
        <f aca="false">T138</f>
        <v>#NAME?</v>
      </c>
      <c r="U141" s="65" t="e">
        <f aca="false">U138</f>
        <v>#NAME?</v>
      </c>
      <c r="V141" s="65" t="e">
        <f aca="false">V138</f>
        <v>#NAME?</v>
      </c>
      <c r="W141" s="65" t="e">
        <f aca="false">W138</f>
        <v>#NAME?</v>
      </c>
      <c r="X141" s="65" t="e">
        <f aca="false">X138</f>
        <v>#NAME?</v>
      </c>
      <c r="Y141" s="65" t="e">
        <f aca="false">Y138</f>
        <v>#NAME?</v>
      </c>
      <c r="Z141" s="65" t="e">
        <f aca="false">Z138</f>
        <v>#NAME?</v>
      </c>
      <c r="AA141" s="65" t="e">
        <f aca="false">AA138</f>
        <v>#NAME?</v>
      </c>
      <c r="AB141" s="65" t="e">
        <f aca="false">AB138</f>
        <v>#NAME?</v>
      </c>
      <c r="AC141" s="65" t="e">
        <f aca="false">AC138</f>
        <v>#NAME?</v>
      </c>
      <c r="AD141" s="65" t="e">
        <f aca="false">AD138</f>
        <v>#NAME?</v>
      </c>
      <c r="AE141" s="65" t="e">
        <f aca="false">AE138</f>
        <v>#NAME?</v>
      </c>
      <c r="AF141" s="65" t="e">
        <f aca="false">AF138</f>
        <v>#NAME?</v>
      </c>
      <c r="AG141" s="65" t="e">
        <f aca="false">AG138</f>
        <v>#NAME?</v>
      </c>
      <c r="AH141" s="65" t="e">
        <f aca="false">AH138</f>
        <v>#NAME?</v>
      </c>
      <c r="AI141" s="65" t="e">
        <f aca="false">AI138</f>
        <v>#NAME?</v>
      </c>
      <c r="AJ141" s="65" t="e">
        <f aca="false">AJ138</f>
        <v>#NAME?</v>
      </c>
      <c r="AK141" s="65" t="e">
        <f aca="false">AK138</f>
        <v>#NAME?</v>
      </c>
      <c r="AL141" s="65" t="e">
        <f aca="false">AL138</f>
        <v>#NAME?</v>
      </c>
    </row>
    <row r="142" customFormat="false" ht="15" hidden="false" customHeight="false" outlineLevel="0" collapsed="false">
      <c r="C142" s="0" t="s">
        <v>287</v>
      </c>
      <c r="E142" s="104" t="s">
        <v>34</v>
      </c>
      <c r="G142" s="135" t="e">
        <f aca="false">IRR(I141:AL141)</f>
        <v>#NAME?</v>
      </c>
    </row>
    <row r="143" customFormat="false" ht="15" hidden="false" customHeight="false" outlineLevel="0" collapsed="false">
      <c r="E143" s="0"/>
      <c r="G143" s="135"/>
    </row>
    <row r="144" customFormat="false" ht="15" hidden="false" customHeight="false" outlineLevel="0" collapsed="false">
      <c r="C144" s="0" t="s">
        <v>288</v>
      </c>
      <c r="E144" s="141"/>
      <c r="G144" s="137" t="e">
        <f aca="false">G128*(Funding!H23+Funding!H24)</f>
        <v>#NAME?</v>
      </c>
      <c r="I144" s="65" t="e">
        <f aca="false">I122+I121</f>
        <v>#VALUE!</v>
      </c>
      <c r="J144" s="65" t="e">
        <f aca="false">J122+J121</f>
        <v>#VALUE!</v>
      </c>
      <c r="K144" s="65" t="e">
        <f aca="false">K122+K121</f>
        <v>#VALUE!</v>
      </c>
      <c r="L144" s="65" t="e">
        <f aca="false">L122+L121</f>
        <v>#VALUE!</v>
      </c>
      <c r="M144" s="65" t="e">
        <f aca="false">M122+M121</f>
        <v>#VALUE!</v>
      </c>
      <c r="N144" s="65" t="e">
        <f aca="false">N122+N121</f>
        <v>#VALUE!</v>
      </c>
      <c r="O144" s="65" t="e">
        <f aca="false">O122+O121</f>
        <v>#VALUE!</v>
      </c>
      <c r="P144" s="65" t="e">
        <f aca="false">P122+P121</f>
        <v>#VALUE!</v>
      </c>
      <c r="Q144" s="65" t="e">
        <f aca="false">Q122+Q121</f>
        <v>#VALUE!</v>
      </c>
      <c r="R144" s="65" t="e">
        <f aca="false">R122+R121</f>
        <v>#VALUE!</v>
      </c>
      <c r="S144" s="65" t="e">
        <f aca="false">S122+S121</f>
        <v>#VALUE!</v>
      </c>
      <c r="T144" s="65" t="e">
        <f aca="false">T122+T121</f>
        <v>#VALUE!</v>
      </c>
      <c r="U144" s="65" t="e">
        <f aca="false">U122+U121</f>
        <v>#VALUE!</v>
      </c>
      <c r="V144" s="65" t="e">
        <f aca="false">V122+V121</f>
        <v>#VALUE!</v>
      </c>
      <c r="W144" s="65" t="e">
        <f aca="false">W122+W121</f>
        <v>#VALUE!</v>
      </c>
      <c r="X144" s="65" t="e">
        <f aca="false">X122+X121</f>
        <v>#VALUE!</v>
      </c>
      <c r="Y144" s="65" t="e">
        <f aca="false">Y122+Y121</f>
        <v>#VALUE!</v>
      </c>
      <c r="Z144" s="65" t="e">
        <f aca="false">Z122+Z121</f>
        <v>#VALUE!</v>
      </c>
      <c r="AA144" s="65" t="e">
        <f aca="false">AA122+AA121</f>
        <v>#VALUE!</v>
      </c>
      <c r="AB144" s="65" t="e">
        <f aca="false">AB122+AB121</f>
        <v>#VALUE!</v>
      </c>
      <c r="AC144" s="65" t="e">
        <f aca="false">AC122+AC121</f>
        <v>#VALUE!</v>
      </c>
      <c r="AD144" s="65" t="e">
        <f aca="false">AD122+AD121</f>
        <v>#VALUE!</v>
      </c>
      <c r="AE144" s="65" t="e">
        <f aca="false">AE122+AE121</f>
        <v>#VALUE!</v>
      </c>
      <c r="AF144" s="65" t="e">
        <f aca="false">AF122+AF121</f>
        <v>#VALUE!</v>
      </c>
      <c r="AG144" s="65" t="e">
        <f aca="false">AG122+AG121</f>
        <v>#VALUE!</v>
      </c>
      <c r="AH144" s="65" t="e">
        <f aca="false">AH122+AH121</f>
        <v>#VALUE!</v>
      </c>
      <c r="AI144" s="65" t="e">
        <f aca="false">AI122+AI121</f>
        <v>#VALUE!</v>
      </c>
      <c r="AJ144" s="65" t="e">
        <f aca="false">AJ122+AJ121</f>
        <v>#VALUE!</v>
      </c>
      <c r="AK144" s="65" t="e">
        <f aca="false">AK122+AK121</f>
        <v>#VALUE!</v>
      </c>
      <c r="AL144" s="65" t="e">
        <f aca="false">AL122+AL121</f>
        <v>#VALUE!</v>
      </c>
    </row>
    <row r="145" customFormat="false" ht="15" hidden="false" customHeight="false" outlineLevel="0" collapsed="false">
      <c r="E145" s="0"/>
      <c r="I145" s="142"/>
    </row>
    <row r="146" customFormat="false" ht="15" hidden="false" customHeight="false" outlineLevel="0" collapsed="false">
      <c r="C146" s="0" t="s">
        <v>289</v>
      </c>
      <c r="E146" s="104" t="s">
        <v>72</v>
      </c>
      <c r="G146" s="143" t="e">
        <f aca="false">G138</f>
        <v>#NAME?</v>
      </c>
    </row>
    <row r="147" customFormat="false" ht="15" hidden="false" customHeight="false" outlineLevel="0" collapsed="false">
      <c r="C147" s="0" t="s">
        <v>290</v>
      </c>
      <c r="D147" s="137"/>
      <c r="E147" s="104" t="s">
        <v>72</v>
      </c>
      <c r="G147" s="65" t="e">
        <f aca="false">G128-G126</f>
        <v>#VALUE!</v>
      </c>
    </row>
    <row r="148" customFormat="false" ht="15" hidden="false" customHeight="false" outlineLevel="0" collapsed="false">
      <c r="E148" s="0"/>
    </row>
    <row r="149" customFormat="false" ht="15" hidden="false" customHeight="false" outlineLevel="0" collapsed="false">
      <c r="C149" s="0" t="s">
        <v>291</v>
      </c>
      <c r="E149" s="65"/>
      <c r="G149" s="143" t="e">
        <f aca="false">G128-G146</f>
        <v>#VALUE!</v>
      </c>
    </row>
    <row r="150" customFormat="false" ht="15" hidden="false" customHeight="false" outlineLevel="0" collapsed="false">
      <c r="C150" s="0" t="s">
        <v>292</v>
      </c>
      <c r="G150" s="65" t="e">
        <f aca="false">SUM(I121:AL121,I122:AL122)</f>
        <v>#VALUE!</v>
      </c>
    </row>
    <row r="151" customFormat="false" ht="15" hidden="false" customHeight="false" outlineLevel="0" collapsed="false">
      <c r="C151" s="0" t="s">
        <v>293</v>
      </c>
      <c r="G151" s="65" t="e">
        <f aca="false">G147-G146</f>
        <v>#VALUE!</v>
      </c>
    </row>
    <row r="152" customFormat="false" ht="15" hidden="false" customHeight="false" outlineLevel="0" collapsed="false">
      <c r="C152" s="0" t="s">
        <v>251</v>
      </c>
      <c r="G152" s="65" t="e">
        <f aca="false">G149-G150-G151</f>
        <v>#VALUE!</v>
      </c>
    </row>
    <row r="154" customFormat="false" ht="15" hidden="false" customHeight="false" outlineLevel="0" collapsed="false">
      <c r="C154" s="0" t="s">
        <v>294</v>
      </c>
      <c r="G154" s="138" t="e">
        <f aca="false">SUM($I$133:$AL$134)*Funding!H48/Funding!$H$51</f>
        <v>#NAME?</v>
      </c>
    </row>
    <row r="155" customFormat="false" ht="15" hidden="false" customHeight="false" outlineLevel="0" collapsed="false">
      <c r="C155" s="0" t="s">
        <v>295</v>
      </c>
      <c r="G155" s="138" t="e">
        <f aca="false">SUM($I$133:$AL$134)*Funding!H49/Funding!$H$51</f>
        <v>#NAME?</v>
      </c>
    </row>
    <row r="156" customFormat="false" ht="15" hidden="false" customHeight="false" outlineLevel="0" collapsed="false">
      <c r="C156" s="0" t="s">
        <v>296</v>
      </c>
      <c r="G156" s="138" t="e">
        <f aca="false">SUM($I$133:$AL$134)*Funding!H50/Funding!$H$51+SUM(I135:AL136)</f>
        <v>#NAME?</v>
      </c>
    </row>
    <row r="157" customFormat="false" ht="15" hidden="false" customHeight="false" outlineLevel="0" collapsed="false">
      <c r="C157" s="0" t="s">
        <v>297</v>
      </c>
      <c r="G157" s="65" t="e">
        <f aca="false">SUM(G154:G156)-G146</f>
        <v>#NAME?</v>
      </c>
    </row>
  </sheetData>
  <conditionalFormatting sqref="I106:AL106">
    <cfRule type="cellIs" priority="2" operator="equal" aboveAverage="0" equalAverage="0" bottom="0" percent="0" rank="0" text="" dxfId="0">
      <formula>"error"</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M278"/>
  <sheetViews>
    <sheetView windowProtection="true" showFormulas="false" showGridLines="false" showRowColHeaders="true" showZeros="true" rightToLeft="false" tabSelected="true" showOutlineSymbols="true" defaultGridColor="true" view="normal" topLeftCell="A1" colorId="64" zoomScale="85" zoomScaleNormal="85" zoomScalePageLayoutView="100" workbookViewId="0">
      <pane xSplit="8" ySplit="4" topLeftCell="I82" activePane="bottomRight" state="frozen"/>
      <selection pane="topLeft" activeCell="A1" activeCellId="0" sqref="A1"/>
      <selection pane="topRight" activeCell="I1" activeCellId="0" sqref="I1"/>
      <selection pane="bottomLeft" activeCell="A82" activeCellId="0" sqref="A82"/>
      <selection pane="bottomRight" activeCell="D97" activeCellId="0" sqref="D97"/>
    </sheetView>
  </sheetViews>
  <sheetFormatPr defaultRowHeight="15"/>
  <cols>
    <col collapsed="false" hidden="false" max="1" min="1" style="0" width="8.89068825910931"/>
    <col collapsed="false" hidden="false" max="2" min="2" style="0" width="16.497975708502"/>
    <col collapsed="false" hidden="false" max="3" min="3" style="0" width="36.6356275303644"/>
    <col collapsed="false" hidden="false" max="4" min="4" style="0" width="10.9271255060729"/>
    <col collapsed="false" hidden="false" max="5" min="5" style="104" width="15.3198380566802"/>
    <col collapsed="false" hidden="false" max="6" min="6" style="0" width="4.39271255060729"/>
    <col collapsed="false" hidden="false" max="7" min="7" style="0" width="11.6761133603239"/>
    <col collapsed="false" hidden="false" max="8" min="8" style="105" width="7.49797570850202"/>
    <col collapsed="false" hidden="false" max="9" min="9" style="0" width="10.6032388663968"/>
    <col collapsed="false" hidden="false" max="39" min="10" style="0" width="11.1417004048583"/>
    <col collapsed="false" hidden="true" max="1025" min="40" style="0" width="0"/>
  </cols>
  <sheetData>
    <row r="1" s="14" customFormat="true" ht="15" hidden="false" customHeight="false" outlineLevel="0" collapsed="false">
      <c r="A1" s="14" t="str">
        <f aca="false">Parameters!A1</f>
        <v>supplier SOLAR MODEL</v>
      </c>
      <c r="E1" s="15"/>
      <c r="F1" s="15"/>
      <c r="G1" s="15"/>
      <c r="H1" s="106" t="str">
        <f aca="false">'Cash Flow'!H1</f>
        <v>Period</v>
      </c>
      <c r="I1" s="107" t="n">
        <f aca="false">'Cash Flow'!I1</f>
        <v>1</v>
      </c>
      <c r="J1" s="107" t="n">
        <f aca="false">'Cash Flow'!J1</f>
        <v>2</v>
      </c>
      <c r="K1" s="107" t="n">
        <f aca="false">'Cash Flow'!K1</f>
        <v>3</v>
      </c>
      <c r="L1" s="107" t="n">
        <f aca="false">'Cash Flow'!L1</f>
        <v>4</v>
      </c>
      <c r="M1" s="107" t="n">
        <f aca="false">'Cash Flow'!M1</f>
        <v>5</v>
      </c>
      <c r="N1" s="107" t="n">
        <f aca="false">'Cash Flow'!N1</f>
        <v>6</v>
      </c>
      <c r="O1" s="107" t="n">
        <f aca="false">'Cash Flow'!O1</f>
        <v>7</v>
      </c>
      <c r="P1" s="107" t="n">
        <f aca="false">'Cash Flow'!P1</f>
        <v>8</v>
      </c>
      <c r="Q1" s="107" t="n">
        <f aca="false">'Cash Flow'!Q1</f>
        <v>9</v>
      </c>
      <c r="R1" s="107" t="n">
        <f aca="false">'Cash Flow'!R1</f>
        <v>10</v>
      </c>
      <c r="S1" s="107" t="n">
        <f aca="false">'Cash Flow'!S1</f>
        <v>11</v>
      </c>
      <c r="T1" s="107" t="n">
        <f aca="false">'Cash Flow'!T1</f>
        <v>12</v>
      </c>
      <c r="U1" s="107" t="n">
        <f aca="false">'Cash Flow'!U1</f>
        <v>13</v>
      </c>
      <c r="V1" s="107" t="n">
        <f aca="false">'Cash Flow'!V1</f>
        <v>14</v>
      </c>
      <c r="W1" s="107" t="n">
        <f aca="false">'Cash Flow'!W1</f>
        <v>15</v>
      </c>
      <c r="X1" s="107" t="n">
        <f aca="false">'Cash Flow'!X1</f>
        <v>16</v>
      </c>
      <c r="Y1" s="107" t="n">
        <f aca="false">'Cash Flow'!Y1</f>
        <v>17</v>
      </c>
      <c r="Z1" s="107" t="n">
        <f aca="false">'Cash Flow'!Z1</f>
        <v>18</v>
      </c>
      <c r="AA1" s="107" t="n">
        <f aca="false">'Cash Flow'!AA1</f>
        <v>19</v>
      </c>
      <c r="AB1" s="107" t="n">
        <f aca="false">'Cash Flow'!AB1</f>
        <v>20</v>
      </c>
      <c r="AC1" s="107" t="n">
        <f aca="false">'Cash Flow'!AC1</f>
        <v>21</v>
      </c>
      <c r="AD1" s="107" t="n">
        <f aca="false">'Cash Flow'!AD1</f>
        <v>22</v>
      </c>
      <c r="AE1" s="107" t="n">
        <f aca="false">'Cash Flow'!AE1</f>
        <v>23</v>
      </c>
      <c r="AF1" s="107" t="n">
        <f aca="false">'Cash Flow'!AF1</f>
        <v>24</v>
      </c>
      <c r="AG1" s="107" t="n">
        <f aca="false">'Cash Flow'!AG1</f>
        <v>25</v>
      </c>
      <c r="AH1" s="107" t="n">
        <f aca="false">'Cash Flow'!AH1</f>
        <v>26</v>
      </c>
      <c r="AI1" s="107" t="n">
        <f aca="false">'Cash Flow'!AI1</f>
        <v>27</v>
      </c>
      <c r="AJ1" s="107" t="n">
        <f aca="false">'Cash Flow'!AJ1</f>
        <v>28</v>
      </c>
      <c r="AK1" s="107" t="n">
        <f aca="false">'Cash Flow'!AK1</f>
        <v>29</v>
      </c>
      <c r="AL1" s="107" t="n">
        <f aca="false">'Cash Flow'!AL1</f>
        <v>30</v>
      </c>
      <c r="AM1" s="107"/>
    </row>
    <row r="2" customFormat="false" ht="15" hidden="false" customHeight="false" outlineLevel="0" collapsed="false">
      <c r="A2" s="14" t="str">
        <f aca="false">Parameters!A2</f>
        <v>25.01.2017</v>
      </c>
      <c r="B2" s="14"/>
      <c r="C2" s="14"/>
      <c r="D2" s="14"/>
      <c r="E2" s="15"/>
      <c r="F2" s="15"/>
      <c r="G2" s="15"/>
      <c r="H2" s="108" t="str">
        <f aca="false">'Cash Flow'!H2</f>
        <v>Start Date</v>
      </c>
      <c r="I2" s="109" t="n">
        <f aca="false">'Cash Flow'!I2</f>
        <v>42522</v>
      </c>
      <c r="J2" s="109" t="n">
        <f aca="false">'Cash Flow'!J2</f>
        <v>42887</v>
      </c>
      <c r="K2" s="109" t="n">
        <f aca="false">'Cash Flow'!K2</f>
        <v>43252</v>
      </c>
      <c r="L2" s="109" t="n">
        <f aca="false">'Cash Flow'!L2</f>
        <v>43617</v>
      </c>
      <c r="M2" s="109" t="n">
        <f aca="false">'Cash Flow'!M2</f>
        <v>43982</v>
      </c>
      <c r="N2" s="109" t="n">
        <f aca="false">'Cash Flow'!N2</f>
        <v>44348</v>
      </c>
      <c r="O2" s="109" t="n">
        <f aca="false">'Cash Flow'!O2</f>
        <v>44713</v>
      </c>
      <c r="P2" s="109" t="n">
        <f aca="false">'Cash Flow'!P2</f>
        <v>45078</v>
      </c>
      <c r="Q2" s="109" t="n">
        <f aca="false">'Cash Flow'!Q2</f>
        <v>45443</v>
      </c>
      <c r="R2" s="109" t="n">
        <f aca="false">'Cash Flow'!R2</f>
        <v>45809</v>
      </c>
      <c r="S2" s="109" t="n">
        <f aca="false">'Cash Flow'!S2</f>
        <v>46174</v>
      </c>
      <c r="T2" s="109" t="n">
        <f aca="false">'Cash Flow'!T2</f>
        <v>46539</v>
      </c>
      <c r="U2" s="109" t="n">
        <f aca="false">'Cash Flow'!U2</f>
        <v>46904</v>
      </c>
      <c r="V2" s="109" t="n">
        <f aca="false">'Cash Flow'!V2</f>
        <v>47270</v>
      </c>
      <c r="W2" s="109" t="n">
        <f aca="false">'Cash Flow'!W2</f>
        <v>47635</v>
      </c>
      <c r="X2" s="109" t="n">
        <f aca="false">'Cash Flow'!X2</f>
        <v>48000</v>
      </c>
      <c r="Y2" s="109" t="n">
        <f aca="false">'Cash Flow'!Y2</f>
        <v>48365</v>
      </c>
      <c r="Z2" s="109" t="n">
        <f aca="false">'Cash Flow'!Z2</f>
        <v>48731</v>
      </c>
      <c r="AA2" s="109" t="n">
        <f aca="false">'Cash Flow'!AA2</f>
        <v>49096</v>
      </c>
      <c r="AB2" s="109" t="n">
        <f aca="false">'Cash Flow'!AB2</f>
        <v>49461</v>
      </c>
      <c r="AC2" s="109" t="n">
        <f aca="false">'Cash Flow'!AC2</f>
        <v>49826</v>
      </c>
      <c r="AD2" s="109" t="n">
        <f aca="false">'Cash Flow'!AD2</f>
        <v>50192</v>
      </c>
      <c r="AE2" s="109" t="n">
        <f aca="false">'Cash Flow'!AE2</f>
        <v>50557</v>
      </c>
      <c r="AF2" s="109" t="n">
        <f aca="false">'Cash Flow'!AF2</f>
        <v>50922</v>
      </c>
      <c r="AG2" s="109" t="n">
        <f aca="false">'Cash Flow'!AG2</f>
        <v>51287</v>
      </c>
      <c r="AH2" s="109" t="n">
        <f aca="false">'Cash Flow'!AH2</f>
        <v>51653</v>
      </c>
      <c r="AI2" s="109" t="n">
        <f aca="false">'Cash Flow'!AI2</f>
        <v>52018</v>
      </c>
      <c r="AJ2" s="109" t="n">
        <f aca="false">'Cash Flow'!AJ2</f>
        <v>52383</v>
      </c>
      <c r="AK2" s="109" t="n">
        <f aca="false">'Cash Flow'!AK2</f>
        <v>52748</v>
      </c>
      <c r="AL2" s="109" t="n">
        <f aca="false">'Cash Flow'!AL2</f>
        <v>53114</v>
      </c>
      <c r="AM2" s="109"/>
    </row>
    <row r="3" customFormat="false" ht="15" hidden="false" customHeight="false" outlineLevel="0" collapsed="false">
      <c r="A3" s="14" t="str">
        <f aca="false">Parameters!A3</f>
        <v>customer GROUP</v>
      </c>
      <c r="B3" s="14"/>
      <c r="C3" s="14"/>
      <c r="D3" s="14"/>
      <c r="E3" s="15"/>
      <c r="F3" s="15"/>
      <c r="G3" s="15"/>
      <c r="H3" s="108" t="str">
        <f aca="false">'Cash Flow'!H3</f>
        <v>End Date</v>
      </c>
      <c r="I3" s="109" t="n">
        <f aca="false">'Cash Flow'!I3</f>
        <v>42886</v>
      </c>
      <c r="J3" s="109" t="n">
        <f aca="false">'Cash Flow'!J3</f>
        <v>43251</v>
      </c>
      <c r="K3" s="109" t="n">
        <f aca="false">'Cash Flow'!K3</f>
        <v>43616</v>
      </c>
      <c r="L3" s="109" t="n">
        <f aca="false">'Cash Flow'!L3</f>
        <v>43981</v>
      </c>
      <c r="M3" s="109" t="n">
        <f aca="false">'Cash Flow'!M3</f>
        <v>44347</v>
      </c>
      <c r="N3" s="109" t="n">
        <f aca="false">'Cash Flow'!N3</f>
        <v>44712</v>
      </c>
      <c r="O3" s="109" t="n">
        <f aca="false">'Cash Flow'!O3</f>
        <v>45077</v>
      </c>
      <c r="P3" s="109" t="n">
        <f aca="false">'Cash Flow'!P3</f>
        <v>45442</v>
      </c>
      <c r="Q3" s="109" t="n">
        <f aca="false">'Cash Flow'!Q3</f>
        <v>45808</v>
      </c>
      <c r="R3" s="109" t="n">
        <f aca="false">'Cash Flow'!R3</f>
        <v>46173</v>
      </c>
      <c r="S3" s="109" t="n">
        <f aca="false">'Cash Flow'!S3</f>
        <v>46538</v>
      </c>
      <c r="T3" s="109" t="n">
        <f aca="false">'Cash Flow'!T3</f>
        <v>46903</v>
      </c>
      <c r="U3" s="109" t="n">
        <f aca="false">'Cash Flow'!U3</f>
        <v>47269</v>
      </c>
      <c r="V3" s="109" t="n">
        <f aca="false">'Cash Flow'!V3</f>
        <v>47634</v>
      </c>
      <c r="W3" s="109" t="n">
        <f aca="false">'Cash Flow'!W3</f>
        <v>47999</v>
      </c>
      <c r="X3" s="109" t="n">
        <f aca="false">'Cash Flow'!X3</f>
        <v>48364</v>
      </c>
      <c r="Y3" s="109" t="n">
        <f aca="false">'Cash Flow'!Y3</f>
        <v>48730</v>
      </c>
      <c r="Z3" s="109" t="n">
        <f aca="false">'Cash Flow'!Z3</f>
        <v>49095</v>
      </c>
      <c r="AA3" s="109" t="n">
        <f aca="false">'Cash Flow'!AA3</f>
        <v>49460</v>
      </c>
      <c r="AB3" s="109" t="n">
        <f aca="false">'Cash Flow'!AB3</f>
        <v>49825</v>
      </c>
      <c r="AC3" s="109" t="n">
        <f aca="false">'Cash Flow'!AC3</f>
        <v>50191</v>
      </c>
      <c r="AD3" s="109" t="n">
        <f aca="false">'Cash Flow'!AD3</f>
        <v>50556</v>
      </c>
      <c r="AE3" s="109" t="n">
        <f aca="false">'Cash Flow'!AE3</f>
        <v>50921</v>
      </c>
      <c r="AF3" s="109" t="n">
        <f aca="false">'Cash Flow'!AF3</f>
        <v>51286</v>
      </c>
      <c r="AG3" s="109" t="n">
        <f aca="false">'Cash Flow'!AG3</f>
        <v>51652</v>
      </c>
      <c r="AH3" s="109" t="n">
        <f aca="false">'Cash Flow'!AH3</f>
        <v>52017</v>
      </c>
      <c r="AI3" s="109" t="n">
        <f aca="false">'Cash Flow'!AI3</f>
        <v>52382</v>
      </c>
      <c r="AJ3" s="109" t="n">
        <f aca="false">'Cash Flow'!AJ3</f>
        <v>52747</v>
      </c>
      <c r="AK3" s="109" t="n">
        <f aca="false">'Cash Flow'!AK3</f>
        <v>53113</v>
      </c>
      <c r="AL3" s="109" t="n">
        <f aca="false">'Cash Flow'!AL3</f>
        <v>53478</v>
      </c>
      <c r="AM3" s="109"/>
    </row>
    <row r="4" customFormat="false" ht="15" hidden="false" customHeight="false" outlineLevel="0" collapsed="false">
      <c r="A4" s="14" t="e">
        <f aca="false">Parameters!A4</f>
        <v>#VALUE!</v>
      </c>
      <c r="B4" s="14"/>
      <c r="C4" s="14"/>
      <c r="D4" s="14"/>
      <c r="E4" s="15"/>
      <c r="F4" s="15"/>
      <c r="G4" s="15"/>
      <c r="H4" s="108" t="str">
        <f aca="false">'Cash Flow'!H4</f>
        <v>No. of Days</v>
      </c>
      <c r="I4" s="15" t="n">
        <f aca="false">'Cash Flow'!I4</f>
        <v>365</v>
      </c>
      <c r="J4" s="15" t="n">
        <f aca="false">'Cash Flow'!J4</f>
        <v>365</v>
      </c>
      <c r="K4" s="15" t="n">
        <f aca="false">'Cash Flow'!K4</f>
        <v>365</v>
      </c>
      <c r="L4" s="15" t="n">
        <f aca="false">'Cash Flow'!L4</f>
        <v>365</v>
      </c>
      <c r="M4" s="15" t="n">
        <f aca="false">'Cash Flow'!M4</f>
        <v>366</v>
      </c>
      <c r="N4" s="15" t="n">
        <f aca="false">'Cash Flow'!N4</f>
        <v>365</v>
      </c>
      <c r="O4" s="15" t="n">
        <f aca="false">'Cash Flow'!O4</f>
        <v>365</v>
      </c>
      <c r="P4" s="15" t="n">
        <f aca="false">'Cash Flow'!P4</f>
        <v>365</v>
      </c>
      <c r="Q4" s="15" t="n">
        <f aca="false">'Cash Flow'!Q4</f>
        <v>366</v>
      </c>
      <c r="R4" s="15" t="n">
        <f aca="false">'Cash Flow'!R4</f>
        <v>365</v>
      </c>
      <c r="S4" s="15" t="n">
        <f aca="false">'Cash Flow'!S4</f>
        <v>365</v>
      </c>
      <c r="T4" s="15" t="n">
        <f aca="false">'Cash Flow'!T4</f>
        <v>365</v>
      </c>
      <c r="U4" s="15" t="n">
        <f aca="false">'Cash Flow'!U4</f>
        <v>366</v>
      </c>
      <c r="V4" s="15" t="n">
        <f aca="false">'Cash Flow'!V4</f>
        <v>365</v>
      </c>
      <c r="W4" s="15" t="n">
        <f aca="false">'Cash Flow'!W4</f>
        <v>365</v>
      </c>
      <c r="X4" s="15" t="n">
        <f aca="false">'Cash Flow'!X4</f>
        <v>365</v>
      </c>
      <c r="Y4" s="15" t="n">
        <f aca="false">'Cash Flow'!Y4</f>
        <v>366</v>
      </c>
      <c r="Z4" s="15" t="n">
        <f aca="false">'Cash Flow'!Z4</f>
        <v>365</v>
      </c>
      <c r="AA4" s="15" t="n">
        <f aca="false">'Cash Flow'!AA4</f>
        <v>365</v>
      </c>
      <c r="AB4" s="15" t="n">
        <f aca="false">'Cash Flow'!AB4</f>
        <v>365</v>
      </c>
      <c r="AC4" s="15" t="n">
        <f aca="false">'Cash Flow'!AC4</f>
        <v>366</v>
      </c>
      <c r="AD4" s="15" t="n">
        <f aca="false">'Cash Flow'!AD4</f>
        <v>365</v>
      </c>
      <c r="AE4" s="15" t="n">
        <f aca="false">'Cash Flow'!AE4</f>
        <v>365</v>
      </c>
      <c r="AF4" s="15" t="n">
        <f aca="false">'Cash Flow'!AF4</f>
        <v>365</v>
      </c>
      <c r="AG4" s="15" t="n">
        <f aca="false">'Cash Flow'!AG4</f>
        <v>366</v>
      </c>
      <c r="AH4" s="15" t="n">
        <f aca="false">'Cash Flow'!AH4</f>
        <v>365</v>
      </c>
      <c r="AI4" s="15" t="n">
        <f aca="false">'Cash Flow'!AI4</f>
        <v>365</v>
      </c>
      <c r="AJ4" s="15" t="n">
        <f aca="false">'Cash Flow'!AJ4</f>
        <v>365</v>
      </c>
      <c r="AK4" s="15" t="n">
        <f aca="false">'Cash Flow'!AK4</f>
        <v>366</v>
      </c>
      <c r="AL4" s="15" t="n">
        <f aca="false">'Cash Flow'!AL4</f>
        <v>365</v>
      </c>
      <c r="AM4" s="15"/>
    </row>
    <row r="6" customFormat="false" ht="15" hidden="false" customHeight="false" outlineLevel="1" collapsed="false">
      <c r="C6" s="0" t="s">
        <v>191</v>
      </c>
      <c r="E6" s="104" t="s">
        <v>192</v>
      </c>
      <c r="G6" s="0" t="n">
        <f aca="false">SUM(I6:AL6)</f>
        <v>1</v>
      </c>
      <c r="H6" s="0"/>
      <c r="I6" s="0" t="n">
        <f aca="false">1*(I1&lt;=Dev_Period)</f>
        <v>1</v>
      </c>
      <c r="J6" s="0" t="n">
        <f aca="false">1*(J1&lt;=Dev_Period)</f>
        <v>0</v>
      </c>
      <c r="K6" s="0" t="n">
        <f aca="false">1*(K1&lt;=Dev_Period)</f>
        <v>0</v>
      </c>
      <c r="L6" s="0" t="n">
        <f aca="false">1*(L1&lt;=Dev_Period)</f>
        <v>0</v>
      </c>
      <c r="M6" s="0" t="n">
        <f aca="false">1*(M1&lt;=Dev_Period)</f>
        <v>0</v>
      </c>
      <c r="N6" s="0" t="n">
        <f aca="false">1*(N1&lt;=Dev_Period)</f>
        <v>0</v>
      </c>
      <c r="O6" s="0" t="n">
        <f aca="false">1*(O1&lt;=Dev_Period)</f>
        <v>0</v>
      </c>
      <c r="P6" s="0" t="n">
        <f aca="false">1*(P1&lt;=Dev_Period)</f>
        <v>0</v>
      </c>
      <c r="Q6" s="0" t="n">
        <f aca="false">1*(Q1&lt;=Dev_Period)</f>
        <v>0</v>
      </c>
      <c r="R6" s="0" t="n">
        <f aca="false">1*(R1&lt;=Dev_Period)</f>
        <v>0</v>
      </c>
      <c r="S6" s="0" t="n">
        <f aca="false">1*(S1&lt;=Dev_Period)</f>
        <v>0</v>
      </c>
      <c r="T6" s="0" t="n">
        <f aca="false">1*(T1&lt;=Dev_Period)</f>
        <v>0</v>
      </c>
      <c r="U6" s="0" t="n">
        <f aca="false">1*(U1&lt;=Dev_Period)</f>
        <v>0</v>
      </c>
      <c r="V6" s="0" t="n">
        <f aca="false">1*(V1&lt;=Dev_Period)</f>
        <v>0</v>
      </c>
      <c r="W6" s="0" t="n">
        <f aca="false">1*(W1&lt;=Dev_Period)</f>
        <v>0</v>
      </c>
      <c r="X6" s="0" t="n">
        <f aca="false">1*(X1&lt;=Dev_Period)</f>
        <v>0</v>
      </c>
      <c r="Y6" s="0" t="n">
        <f aca="false">1*(Y1&lt;=Dev_Period)</f>
        <v>0</v>
      </c>
      <c r="Z6" s="0" t="n">
        <f aca="false">1*(Z1&lt;=Dev_Period)</f>
        <v>0</v>
      </c>
      <c r="AA6" s="0" t="n">
        <f aca="false">1*(AA1&lt;=Dev_Period)</f>
        <v>0</v>
      </c>
      <c r="AB6" s="0" t="n">
        <f aca="false">1*(AB1&lt;=Dev_Period)</f>
        <v>0</v>
      </c>
      <c r="AC6" s="0" t="n">
        <f aca="false">1*(AC1&lt;=Dev_Period)</f>
        <v>0</v>
      </c>
      <c r="AD6" s="0" t="n">
        <f aca="false">1*(AD1&lt;=Dev_Period)</f>
        <v>0</v>
      </c>
      <c r="AE6" s="0" t="n">
        <f aca="false">1*(AE1&lt;=Dev_Period)</f>
        <v>0</v>
      </c>
      <c r="AF6" s="0" t="n">
        <f aca="false">1*(AF1&lt;=Dev_Period)</f>
        <v>0</v>
      </c>
      <c r="AG6" s="0" t="n">
        <f aca="false">1*(AG1&lt;=Dev_Period)</f>
        <v>0</v>
      </c>
      <c r="AH6" s="0" t="n">
        <f aca="false">1*(AH1&lt;=Dev_Period)</f>
        <v>0</v>
      </c>
      <c r="AI6" s="0" t="n">
        <f aca="false">1*(AI1&lt;=Dev_Period)</f>
        <v>0</v>
      </c>
      <c r="AJ6" s="0" t="n">
        <f aca="false">1*(AJ1&lt;=Dev_Period)</f>
        <v>0</v>
      </c>
      <c r="AK6" s="0" t="n">
        <f aca="false">1*(AK1&lt;=Dev_Period)</f>
        <v>0</v>
      </c>
      <c r="AL6" s="0" t="n">
        <f aca="false">1*(AL1&lt;=Dev_Period)</f>
        <v>0</v>
      </c>
    </row>
    <row r="7" customFormat="false" ht="15" hidden="false" customHeight="false" outlineLevel="1" collapsed="false">
      <c r="C7" s="0" t="s">
        <v>193</v>
      </c>
      <c r="E7" s="104" t="s">
        <v>192</v>
      </c>
      <c r="G7" s="0" t="n">
        <f aca="false">SUM(I7:AL7)</f>
        <v>20</v>
      </c>
      <c r="H7" s="0"/>
      <c r="I7" s="0" t="n">
        <f aca="false">1*(I6=0)*((I1-Dev_Period)&lt;=PPA_duration)</f>
        <v>0</v>
      </c>
      <c r="J7" s="0" t="n">
        <f aca="false">1*(J6=0)*((J1-Dev_Period)&lt;=PPA_duration)</f>
        <v>1</v>
      </c>
      <c r="K7" s="0" t="n">
        <f aca="false">1*(K6=0)*((K1-Dev_Period)&lt;=PPA_duration)</f>
        <v>1</v>
      </c>
      <c r="L7" s="0" t="n">
        <f aca="false">1*(L6=0)*((L1-Dev_Period)&lt;=PPA_duration)</f>
        <v>1</v>
      </c>
      <c r="M7" s="0" t="n">
        <f aca="false">1*(M6=0)*((M1-Dev_Period)&lt;=PPA_duration)</f>
        <v>1</v>
      </c>
      <c r="N7" s="0" t="n">
        <f aca="false">1*(N6=0)*((N1-Dev_Period)&lt;=PPA_duration)</f>
        <v>1</v>
      </c>
      <c r="O7" s="0" t="n">
        <f aca="false">1*(O6=0)*((O1-Dev_Period)&lt;=PPA_duration)</f>
        <v>1</v>
      </c>
      <c r="P7" s="0" t="n">
        <f aca="false">1*(P6=0)*((P1-Dev_Period)&lt;=PPA_duration)</f>
        <v>1</v>
      </c>
      <c r="Q7" s="0" t="n">
        <f aca="false">1*(Q6=0)*((Q1-Dev_Period)&lt;=PPA_duration)</f>
        <v>1</v>
      </c>
      <c r="R7" s="0" t="n">
        <f aca="false">1*(R6=0)*((R1-Dev_Period)&lt;=PPA_duration)</f>
        <v>1</v>
      </c>
      <c r="S7" s="0" t="n">
        <f aca="false">1*(S6=0)*((S1-Dev_Period)&lt;=PPA_duration)</f>
        <v>1</v>
      </c>
      <c r="T7" s="0" t="n">
        <f aca="false">1*(T6=0)*((T1-Dev_Period)&lt;=PPA_duration)</f>
        <v>1</v>
      </c>
      <c r="U7" s="0" t="n">
        <f aca="false">1*(U6=0)*((U1-Dev_Period)&lt;=PPA_duration)</f>
        <v>1</v>
      </c>
      <c r="V7" s="0" t="n">
        <f aca="false">1*(V6=0)*((V1-Dev_Period)&lt;=PPA_duration)</f>
        <v>1</v>
      </c>
      <c r="W7" s="0" t="n">
        <f aca="false">1*(W6=0)*((W1-Dev_Period)&lt;=PPA_duration)</f>
        <v>1</v>
      </c>
      <c r="X7" s="0" t="n">
        <f aca="false">1*(X6=0)*((X1-Dev_Period)&lt;=PPA_duration)</f>
        <v>1</v>
      </c>
      <c r="Y7" s="0" t="n">
        <f aca="false">1*(Y6=0)*((Y1-Dev_Period)&lt;=PPA_duration)</f>
        <v>1</v>
      </c>
      <c r="Z7" s="0" t="n">
        <f aca="false">1*(Z6=0)*((Z1-Dev_Period)&lt;=PPA_duration)</f>
        <v>1</v>
      </c>
      <c r="AA7" s="0" t="n">
        <f aca="false">1*(AA6=0)*((AA1-Dev_Period)&lt;=PPA_duration)</f>
        <v>1</v>
      </c>
      <c r="AB7" s="0" t="n">
        <f aca="false">1*(AB6=0)*((AB1-Dev_Period)&lt;=PPA_duration)</f>
        <v>1</v>
      </c>
      <c r="AC7" s="0" t="n">
        <f aca="false">1*(AC6=0)*((AC1-Dev_Period)&lt;=PPA_duration)</f>
        <v>1</v>
      </c>
      <c r="AD7" s="0" t="n">
        <f aca="false">1*(AD6=0)*((AD1-Dev_Period)&lt;=PPA_duration)</f>
        <v>0</v>
      </c>
      <c r="AE7" s="0" t="n">
        <f aca="false">1*(AE6=0)*((AE1-Dev_Period)&lt;=PPA_duration)</f>
        <v>0</v>
      </c>
      <c r="AF7" s="0" t="n">
        <f aca="false">1*(AF6=0)*((AF1-Dev_Period)&lt;=PPA_duration)</f>
        <v>0</v>
      </c>
      <c r="AG7" s="0" t="n">
        <f aca="false">1*(AG6=0)*((AG1-Dev_Period)&lt;=PPA_duration)</f>
        <v>0</v>
      </c>
      <c r="AH7" s="0" t="n">
        <f aca="false">1*(AH6=0)*((AH1-Dev_Period)&lt;=PPA_duration)</f>
        <v>0</v>
      </c>
      <c r="AI7" s="0" t="n">
        <f aca="false">1*(AI6=0)*((AI1-Dev_Period)&lt;=PPA_duration)</f>
        <v>0</v>
      </c>
      <c r="AJ7" s="0" t="n">
        <f aca="false">1*(AJ6=0)*((AJ1-Dev_Period)&lt;=PPA_duration)</f>
        <v>0</v>
      </c>
      <c r="AK7" s="0" t="n">
        <f aca="false">1*(AK6=0)*((AK1-Dev_Period)&lt;=PPA_duration)</f>
        <v>0</v>
      </c>
      <c r="AL7" s="0" t="n">
        <f aca="false">1*(AL6=0)*((AL1-Dev_Period)&lt;=PPA_duration)</f>
        <v>0</v>
      </c>
    </row>
    <row r="8" customFormat="false" ht="15" hidden="false" customHeight="false" outlineLevel="1" collapsed="false">
      <c r="C8" s="0" t="s">
        <v>298</v>
      </c>
      <c r="E8" s="104" t="s">
        <v>192</v>
      </c>
      <c r="H8" s="0"/>
      <c r="I8" s="0" t="n">
        <v>1</v>
      </c>
      <c r="J8" s="0" t="n">
        <v>0</v>
      </c>
      <c r="K8" s="0" t="n">
        <v>0</v>
      </c>
      <c r="L8" s="0" t="n">
        <v>0</v>
      </c>
      <c r="M8" s="0" t="n">
        <v>0</v>
      </c>
      <c r="N8" s="0" t="n">
        <v>0</v>
      </c>
      <c r="O8" s="0" t="n">
        <v>0</v>
      </c>
      <c r="P8" s="0" t="n">
        <v>0</v>
      </c>
      <c r="Q8" s="0" t="n">
        <v>0</v>
      </c>
      <c r="R8" s="0" t="n">
        <v>0</v>
      </c>
      <c r="S8" s="0" t="n">
        <v>0</v>
      </c>
      <c r="T8" s="0" t="n">
        <v>0</v>
      </c>
      <c r="U8" s="0" t="n">
        <v>0</v>
      </c>
      <c r="V8" s="0" t="n">
        <v>0</v>
      </c>
      <c r="W8" s="0" t="n">
        <v>0</v>
      </c>
      <c r="X8" s="0" t="n">
        <v>0</v>
      </c>
      <c r="Y8" s="0" t="n">
        <v>0</v>
      </c>
      <c r="Z8" s="0" t="n">
        <v>0</v>
      </c>
      <c r="AA8" s="0" t="n">
        <v>0</v>
      </c>
      <c r="AB8" s="0" t="n">
        <v>0</v>
      </c>
      <c r="AC8" s="0" t="n">
        <v>0</v>
      </c>
      <c r="AD8" s="0" t="n">
        <v>0</v>
      </c>
      <c r="AE8" s="0" t="n">
        <v>0</v>
      </c>
      <c r="AF8" s="0" t="n">
        <v>0</v>
      </c>
      <c r="AG8" s="0" t="n">
        <v>0</v>
      </c>
      <c r="AH8" s="0" t="n">
        <v>0</v>
      </c>
      <c r="AI8" s="0" t="n">
        <v>0</v>
      </c>
      <c r="AJ8" s="0" t="n">
        <v>0</v>
      </c>
      <c r="AK8" s="0" t="n">
        <v>0</v>
      </c>
      <c r="AL8" s="0" t="n">
        <v>0</v>
      </c>
    </row>
    <row r="9" customFormat="false" ht="15" hidden="false" customHeight="false" outlineLevel="1" collapsed="false">
      <c r="C9" s="0" t="s">
        <v>196</v>
      </c>
      <c r="E9" s="104" t="s">
        <v>192</v>
      </c>
      <c r="H9" s="0"/>
      <c r="I9" s="0" t="n">
        <f aca="false">1*(I1=Dev_Period)</f>
        <v>1</v>
      </c>
      <c r="J9" s="0" t="n">
        <f aca="false">1*(J1=Dev_Period)</f>
        <v>0</v>
      </c>
      <c r="K9" s="0" t="n">
        <f aca="false">1*(K1=Dev_Period)</f>
        <v>0</v>
      </c>
      <c r="L9" s="0" t="n">
        <f aca="false">1*(L1=Dev_Period)</f>
        <v>0</v>
      </c>
      <c r="M9" s="0" t="n">
        <f aca="false">1*(M1=Dev_Period)</f>
        <v>0</v>
      </c>
      <c r="N9" s="0" t="n">
        <f aca="false">1*(N1=Dev_Period)</f>
        <v>0</v>
      </c>
      <c r="O9" s="0" t="n">
        <f aca="false">1*(O1=Dev_Period)</f>
        <v>0</v>
      </c>
      <c r="P9" s="0" t="n">
        <f aca="false">1*(P1=Dev_Period)</f>
        <v>0</v>
      </c>
      <c r="Q9" s="0" t="n">
        <f aca="false">1*(Q1=Dev_Period)</f>
        <v>0</v>
      </c>
      <c r="R9" s="0" t="n">
        <f aca="false">1*(R1=Dev_Period)</f>
        <v>0</v>
      </c>
      <c r="S9" s="0" t="n">
        <f aca="false">1*(S1=Dev_Period)</f>
        <v>0</v>
      </c>
      <c r="T9" s="0" t="n">
        <f aca="false">1*(T1=Dev_Period)</f>
        <v>0</v>
      </c>
      <c r="U9" s="0" t="n">
        <f aca="false">1*(U1=Dev_Period)</f>
        <v>0</v>
      </c>
      <c r="V9" s="0" t="n">
        <f aca="false">1*(V1=Dev_Period)</f>
        <v>0</v>
      </c>
      <c r="W9" s="0" t="n">
        <f aca="false">1*(W1=Dev_Period)</f>
        <v>0</v>
      </c>
      <c r="X9" s="0" t="n">
        <f aca="false">1*(X1=Dev_Period)</f>
        <v>0</v>
      </c>
      <c r="Y9" s="0" t="n">
        <f aca="false">1*(Y1=Dev_Period)</f>
        <v>0</v>
      </c>
      <c r="Z9" s="0" t="n">
        <f aca="false">1*(Z1=Dev_Period)</f>
        <v>0</v>
      </c>
      <c r="AA9" s="0" t="n">
        <f aca="false">1*(AA1=Dev_Period)</f>
        <v>0</v>
      </c>
      <c r="AB9" s="0" t="n">
        <f aca="false">1*(AB1=Dev_Period)</f>
        <v>0</v>
      </c>
      <c r="AC9" s="0" t="n">
        <f aca="false">1*(AC1=Dev_Period)</f>
        <v>0</v>
      </c>
      <c r="AD9" s="0" t="n">
        <f aca="false">1*(AD1=Dev_Period)</f>
        <v>0</v>
      </c>
      <c r="AE9" s="0" t="n">
        <f aca="false">1*(AE1=Dev_Period)</f>
        <v>0</v>
      </c>
      <c r="AF9" s="0" t="n">
        <f aca="false">1*(AF1=Dev_Period)</f>
        <v>0</v>
      </c>
      <c r="AG9" s="0" t="n">
        <f aca="false">1*(AG1=Dev_Period)</f>
        <v>0</v>
      </c>
      <c r="AH9" s="0" t="n">
        <f aca="false">1*(AH1=Dev_Period)</f>
        <v>0</v>
      </c>
      <c r="AI9" s="0" t="n">
        <f aca="false">1*(AI1=Dev_Period)</f>
        <v>0</v>
      </c>
      <c r="AJ9" s="0" t="n">
        <f aca="false">1*(AJ1=Dev_Period)</f>
        <v>0</v>
      </c>
      <c r="AK9" s="0" t="n">
        <f aca="false">1*(AK1=Dev_Period)</f>
        <v>0</v>
      </c>
      <c r="AL9" s="0" t="n">
        <f aca="false">1*(AL1=Dev_Period)</f>
        <v>0</v>
      </c>
    </row>
    <row r="10" customFormat="false" ht="15" hidden="false" customHeight="false" outlineLevel="1" collapsed="false">
      <c r="C10" s="0" t="s">
        <v>194</v>
      </c>
      <c r="E10" s="104" t="s">
        <v>195</v>
      </c>
      <c r="H10" s="0"/>
      <c r="I10" s="0" t="n">
        <f aca="false">SUM($I$7:I7)*I7</f>
        <v>0</v>
      </c>
      <c r="J10" s="0" t="n">
        <f aca="false">SUM($I$7:J7)*J7</f>
        <v>1</v>
      </c>
      <c r="K10" s="0" t="n">
        <f aca="false">SUM($I$7:K7)*K7</f>
        <v>2</v>
      </c>
      <c r="L10" s="0" t="n">
        <f aca="false">SUM($I$7:L7)*L7</f>
        <v>3</v>
      </c>
      <c r="M10" s="0" t="n">
        <f aca="false">SUM($I$7:M7)*M7</f>
        <v>4</v>
      </c>
      <c r="N10" s="0" t="n">
        <f aca="false">SUM($I$7:N7)*N7</f>
        <v>5</v>
      </c>
      <c r="O10" s="0" t="n">
        <f aca="false">SUM($I$7:O7)*O7</f>
        <v>6</v>
      </c>
      <c r="P10" s="0" t="n">
        <f aca="false">SUM($I$7:P7)*P7</f>
        <v>7</v>
      </c>
      <c r="Q10" s="0" t="n">
        <f aca="false">SUM($I$7:Q7)*Q7</f>
        <v>8</v>
      </c>
      <c r="R10" s="0" t="n">
        <f aca="false">SUM($I$7:R7)*R7</f>
        <v>9</v>
      </c>
      <c r="S10" s="0" t="n">
        <f aca="false">SUM($I$7:S7)*S7</f>
        <v>10</v>
      </c>
      <c r="T10" s="0" t="n">
        <f aca="false">SUM($I$7:T7)*T7</f>
        <v>11</v>
      </c>
      <c r="U10" s="0" t="n">
        <f aca="false">SUM($I$7:U7)*U7</f>
        <v>12</v>
      </c>
      <c r="V10" s="0" t="n">
        <f aca="false">SUM($I$7:V7)*V7</f>
        <v>13</v>
      </c>
      <c r="W10" s="0" t="n">
        <f aca="false">SUM($I$7:W7)*W7</f>
        <v>14</v>
      </c>
      <c r="X10" s="0" t="n">
        <f aca="false">SUM($I$7:X7)*X7</f>
        <v>15</v>
      </c>
      <c r="Y10" s="0" t="n">
        <f aca="false">SUM($I$7:Y7)*Y7</f>
        <v>16</v>
      </c>
      <c r="Z10" s="0" t="n">
        <f aca="false">SUM($I$7:Z7)*Z7</f>
        <v>17</v>
      </c>
      <c r="AA10" s="0" t="n">
        <f aca="false">SUM($I$7:AA7)*AA7</f>
        <v>18</v>
      </c>
      <c r="AB10" s="0" t="n">
        <f aca="false">SUM($I$7:AB7)*AB7</f>
        <v>19</v>
      </c>
      <c r="AC10" s="0" t="n">
        <f aca="false">SUM($I$7:AC7)*AC7</f>
        <v>20</v>
      </c>
      <c r="AD10" s="0" t="n">
        <f aca="false">SUM($I$7:AD7)*AD7</f>
        <v>0</v>
      </c>
      <c r="AE10" s="0" t="n">
        <f aca="false">SUM($I$7:AE7)*AE7</f>
        <v>0</v>
      </c>
      <c r="AF10" s="0" t="n">
        <f aca="false">SUM($I$7:AF7)*AF7</f>
        <v>0</v>
      </c>
      <c r="AG10" s="0" t="n">
        <f aca="false">SUM($I$7:AG7)*AG7</f>
        <v>0</v>
      </c>
      <c r="AH10" s="0" t="n">
        <f aca="false">SUM($I$7:AH7)*AH7</f>
        <v>0</v>
      </c>
      <c r="AI10" s="0" t="n">
        <f aca="false">SUM($I$7:AI7)*AI7</f>
        <v>0</v>
      </c>
      <c r="AJ10" s="0" t="n">
        <f aca="false">SUM($I$7:AJ7)*AJ7</f>
        <v>0</v>
      </c>
      <c r="AK10" s="0" t="n">
        <f aca="false">SUM($I$7:AK7)*AK7</f>
        <v>0</v>
      </c>
      <c r="AL10" s="0" t="n">
        <f aca="false">SUM($I$7:AL7)*AL7</f>
        <v>0</v>
      </c>
    </row>
    <row r="11" customFormat="false" ht="15" hidden="false" customHeight="false" outlineLevel="1" collapsed="false">
      <c r="C11" s="0" t="s">
        <v>299</v>
      </c>
      <c r="E11" s="104" t="s">
        <v>192</v>
      </c>
      <c r="H11" s="0"/>
      <c r="I11" s="0" t="n">
        <f aca="false">1*(I10&lt;=Bank_Tenor)*I7</f>
        <v>0</v>
      </c>
      <c r="J11" s="0" t="n">
        <f aca="false">1*(J10&lt;=Bank_Tenor)*J7</f>
        <v>1</v>
      </c>
      <c r="K11" s="0" t="n">
        <f aca="false">1*(K10&lt;=Bank_Tenor)*K7</f>
        <v>1</v>
      </c>
      <c r="L11" s="0" t="n">
        <f aca="false">1*(L10&lt;=Bank_Tenor)*L7</f>
        <v>1</v>
      </c>
      <c r="M11" s="0" t="n">
        <f aca="false">1*(M10&lt;=Bank_Tenor)*M7</f>
        <v>1</v>
      </c>
      <c r="N11" s="0" t="n">
        <f aca="false">1*(N10&lt;=Bank_Tenor)*N7</f>
        <v>1</v>
      </c>
      <c r="O11" s="0" t="n">
        <f aca="false">1*(O10&lt;=Bank_Tenor)*O7</f>
        <v>1</v>
      </c>
      <c r="P11" s="0" t="n">
        <f aca="false">1*(P10&lt;=Bank_Tenor)*P7</f>
        <v>1</v>
      </c>
      <c r="Q11" s="0" t="n">
        <f aca="false">1*(Q10&lt;=Bank_Tenor)*Q7</f>
        <v>1</v>
      </c>
      <c r="R11" s="0" t="n">
        <f aca="false">1*(R10&lt;=Bank_Tenor)*R7</f>
        <v>1</v>
      </c>
      <c r="S11" s="0" t="n">
        <f aca="false">1*(S10&lt;=Bank_Tenor)*S7</f>
        <v>1</v>
      </c>
      <c r="T11" s="0" t="n">
        <f aca="false">1*(T10&lt;=Bank_Tenor)*T7</f>
        <v>1</v>
      </c>
      <c r="U11" s="0" t="n">
        <f aca="false">1*(U10&lt;=Bank_Tenor)*U7</f>
        <v>1</v>
      </c>
      <c r="V11" s="0" t="n">
        <f aca="false">1*(V10&lt;=Bank_Tenor)*V7</f>
        <v>0</v>
      </c>
      <c r="W11" s="0" t="n">
        <f aca="false">1*(W10&lt;=Bank_Tenor)*W7</f>
        <v>0</v>
      </c>
      <c r="X11" s="0" t="n">
        <f aca="false">1*(X10&lt;=Bank_Tenor)*X7</f>
        <v>0</v>
      </c>
      <c r="Y11" s="0" t="n">
        <f aca="false">1*(Y10&lt;=Bank_Tenor)*Y7</f>
        <v>0</v>
      </c>
      <c r="Z11" s="0" t="n">
        <f aca="false">1*(Z10&lt;=Bank_Tenor)*Z7</f>
        <v>0</v>
      </c>
      <c r="AA11" s="0" t="n">
        <f aca="false">1*(AA10&lt;=Bank_Tenor)*AA7</f>
        <v>0</v>
      </c>
      <c r="AB11" s="0" t="n">
        <f aca="false">1*(AB10&lt;=Bank_Tenor)*AB7</f>
        <v>0</v>
      </c>
      <c r="AC11" s="0" t="n">
        <f aca="false">1*(AC10&lt;=Bank_Tenor)*AC7</f>
        <v>0</v>
      </c>
      <c r="AD11" s="0" t="n">
        <f aca="false">1*(AD10&lt;=Bank_Tenor)*AD7</f>
        <v>0</v>
      </c>
      <c r="AE11" s="0" t="n">
        <f aca="false">1*(AE10&lt;=Bank_Tenor)*AE7</f>
        <v>0</v>
      </c>
      <c r="AF11" s="0" t="n">
        <f aca="false">1*(AF10&lt;=Bank_Tenor)*AF7</f>
        <v>0</v>
      </c>
      <c r="AG11" s="0" t="n">
        <f aca="false">1*(AG10&lt;=Bank_Tenor)*AG7</f>
        <v>0</v>
      </c>
      <c r="AH11" s="0" t="n">
        <f aca="false">1*(AH10&lt;=Bank_Tenor)*AH7</f>
        <v>0</v>
      </c>
      <c r="AI11" s="0" t="n">
        <f aca="false">1*(AI10&lt;=Bank_Tenor)*AI7</f>
        <v>0</v>
      </c>
      <c r="AJ11" s="0" t="n">
        <f aca="false">1*(AJ10&lt;=Bank_Tenor)*AJ7</f>
        <v>0</v>
      </c>
      <c r="AK11" s="0" t="n">
        <f aca="false">1*(AK10&lt;=Bank_Tenor)*AK7</f>
        <v>0</v>
      </c>
      <c r="AL11" s="0" t="n">
        <f aca="false">1*(AL10&lt;=Bank_Tenor)*AL7</f>
        <v>0</v>
      </c>
    </row>
    <row r="12" customFormat="false" ht="15" hidden="false" customHeight="false" outlineLevel="1" collapsed="false">
      <c r="C12" s="0" t="s">
        <v>202</v>
      </c>
      <c r="E12" s="104" t="s">
        <v>192</v>
      </c>
      <c r="H12" s="0"/>
      <c r="I12" s="0" t="n">
        <f aca="false">1*(I10=PPA_duration)</f>
        <v>0</v>
      </c>
      <c r="J12" s="0" t="n">
        <f aca="false">1*(J10=PPA_duration)</f>
        <v>0</v>
      </c>
      <c r="K12" s="0" t="n">
        <f aca="false">1*(K10=PPA_duration)</f>
        <v>0</v>
      </c>
      <c r="L12" s="0" t="n">
        <f aca="false">1*(L10=PPA_duration)</f>
        <v>0</v>
      </c>
      <c r="M12" s="0" t="n">
        <f aca="false">1*(M10=PPA_duration)</f>
        <v>0</v>
      </c>
      <c r="N12" s="0" t="n">
        <f aca="false">1*(N10=PPA_duration)</f>
        <v>0</v>
      </c>
      <c r="O12" s="0" t="n">
        <f aca="false">1*(O10=PPA_duration)</f>
        <v>0</v>
      </c>
      <c r="P12" s="0" t="n">
        <f aca="false">1*(P10=PPA_duration)</f>
        <v>0</v>
      </c>
      <c r="Q12" s="0" t="n">
        <f aca="false">1*(Q10=PPA_duration)</f>
        <v>0</v>
      </c>
      <c r="R12" s="0" t="n">
        <f aca="false">1*(R10=PPA_duration)</f>
        <v>0</v>
      </c>
      <c r="S12" s="0" t="n">
        <f aca="false">1*(S10=PPA_duration)</f>
        <v>0</v>
      </c>
      <c r="T12" s="0" t="n">
        <f aca="false">1*(T10=PPA_duration)</f>
        <v>0</v>
      </c>
      <c r="U12" s="0" t="n">
        <f aca="false">1*(U10=PPA_duration)</f>
        <v>0</v>
      </c>
      <c r="V12" s="0" t="n">
        <f aca="false">1*(V10=PPA_duration)</f>
        <v>0</v>
      </c>
      <c r="W12" s="0" t="n">
        <f aca="false">1*(W10=PPA_duration)</f>
        <v>0</v>
      </c>
      <c r="X12" s="0" t="n">
        <f aca="false">1*(X10=PPA_duration)</f>
        <v>0</v>
      </c>
      <c r="Y12" s="0" t="n">
        <f aca="false">1*(Y10=PPA_duration)</f>
        <v>0</v>
      </c>
      <c r="Z12" s="0" t="n">
        <f aca="false">1*(Z10=PPA_duration)</f>
        <v>0</v>
      </c>
      <c r="AA12" s="0" t="n">
        <f aca="false">1*(AA10=PPA_duration)</f>
        <v>0</v>
      </c>
      <c r="AB12" s="0" t="n">
        <f aca="false">1*(AB10=PPA_duration)</f>
        <v>0</v>
      </c>
      <c r="AC12" s="0" t="n">
        <f aca="false">1*(AC10=PPA_duration)</f>
        <v>1</v>
      </c>
      <c r="AD12" s="0" t="n">
        <f aca="false">1*(AD10=PPA_duration)</f>
        <v>0</v>
      </c>
      <c r="AE12" s="0" t="n">
        <f aca="false">1*(AE10=PPA_duration)</f>
        <v>0</v>
      </c>
      <c r="AF12" s="0" t="n">
        <f aca="false">1*(AF10=PPA_duration)</f>
        <v>0</v>
      </c>
      <c r="AG12" s="0" t="n">
        <f aca="false">1*(AG10=PPA_duration)</f>
        <v>0</v>
      </c>
      <c r="AH12" s="0" t="n">
        <f aca="false">1*(AH10=PPA_duration)</f>
        <v>0</v>
      </c>
      <c r="AI12" s="0" t="n">
        <f aca="false">1*(AI10=PPA_duration)</f>
        <v>0</v>
      </c>
      <c r="AJ12" s="0" t="n">
        <f aca="false">1*(AJ10=PPA_duration)</f>
        <v>0</v>
      </c>
      <c r="AK12" s="0" t="n">
        <f aca="false">1*(AK10=PPA_duration)</f>
        <v>0</v>
      </c>
      <c r="AL12" s="0" t="n">
        <f aca="false">1*(AL10=PPA_duration)</f>
        <v>0</v>
      </c>
    </row>
    <row r="14" s="30" customFormat="true" ht="16.9" hidden="false" customHeight="true" outlineLevel="0" collapsed="false">
      <c r="A14" s="30" t="n">
        <f aca="false">COUNT($A$6:A13)+1</f>
        <v>1</v>
      </c>
      <c r="C14" s="30" t="s">
        <v>300</v>
      </c>
      <c r="E14" s="31"/>
      <c r="H14" s="112"/>
    </row>
    <row r="15" customFormat="false" ht="15" hidden="false" customHeight="false" outlineLevel="0" collapsed="false">
      <c r="E15" s="0"/>
      <c r="H15" s="0"/>
    </row>
    <row r="16" customFormat="false" ht="15" hidden="false" customHeight="false" outlineLevel="0" collapsed="false">
      <c r="B16" s="2" t="n">
        <f aca="false">(MAX($A$7:B15)+0.1)</f>
        <v>1.1</v>
      </c>
      <c r="C16" s="2" t="s">
        <v>301</v>
      </c>
      <c r="E16" s="0"/>
      <c r="H16" s="0"/>
    </row>
    <row r="17" customFormat="false" ht="15" hidden="false" customHeight="false" outlineLevel="0" collapsed="false">
      <c r="B17" s="144" t="n">
        <f aca="false">G17/Total_Capital_Required</f>
        <v>0.700776081579941</v>
      </c>
      <c r="C17" s="0" t="s">
        <v>302</v>
      </c>
      <c r="E17" s="104" t="s">
        <v>72</v>
      </c>
      <c r="G17" s="65" t="n">
        <f aca="false">SUM(I17:AL17)</f>
        <v>19625364.4342008</v>
      </c>
      <c r="H17" s="145" t="e">
        <f aca="false">G17/(Total_Capital_Required+Land_value)</f>
        <v>#NAME?</v>
      </c>
      <c r="I17" s="65" t="e">
        <f aca="false">I6*SUM(I60:I68)</f>
        <v>#VALUE!</v>
      </c>
      <c r="J17" s="65" t="e">
        <f aca="false">J6*SUM(J60:J68)</f>
        <v>#VALUE!</v>
      </c>
      <c r="K17" s="65" t="e">
        <f aca="false">K6*SUM(K60:K68)</f>
        <v>#VALUE!</v>
      </c>
      <c r="L17" s="65" t="e">
        <f aca="false">L6*SUM(L60:L68)</f>
        <v>#VALUE!</v>
      </c>
      <c r="M17" s="65" t="e">
        <f aca="false">M6*SUM(M60:M68)</f>
        <v>#VALUE!</v>
      </c>
      <c r="N17" s="65" t="e">
        <f aca="false">N6*SUM(N60:N68)</f>
        <v>#VALUE!</v>
      </c>
      <c r="O17" s="65" t="e">
        <f aca="false">O6*SUM(O60:O68)</f>
        <v>#VALUE!</v>
      </c>
      <c r="P17" s="65" t="e">
        <f aca="false">P6*SUM(P60:P68)</f>
        <v>#VALUE!</v>
      </c>
      <c r="Q17" s="65" t="e">
        <f aca="false">Q6*SUM(Q60:Q68)</f>
        <v>#VALUE!</v>
      </c>
      <c r="R17" s="65" t="e">
        <f aca="false">R6*SUM(R60:R68)</f>
        <v>#VALUE!</v>
      </c>
      <c r="S17" s="65" t="e">
        <f aca="false">S6*SUM(S60:S68)</f>
        <v>#VALUE!</v>
      </c>
      <c r="T17" s="65" t="e">
        <f aca="false">T6*SUM(T60:T68)</f>
        <v>#VALUE!</v>
      </c>
      <c r="U17" s="65" t="e">
        <f aca="false">U6*SUM(U60:U68)</f>
        <v>#VALUE!</v>
      </c>
      <c r="V17" s="65" t="e">
        <f aca="false">V6*SUM(V60:V68)</f>
        <v>#VALUE!</v>
      </c>
      <c r="W17" s="65" t="e">
        <f aca="false">W6*SUM(W60:W68)</f>
        <v>#VALUE!</v>
      </c>
      <c r="X17" s="65" t="e">
        <f aca="false">X6*SUM(X60:X68)</f>
        <v>#VALUE!</v>
      </c>
      <c r="Y17" s="65" t="e">
        <f aca="false">Y6*SUM(Y60:Y68)</f>
        <v>#VALUE!</v>
      </c>
      <c r="Z17" s="65" t="e">
        <f aca="false">Z6*SUM(Z60:Z68)</f>
        <v>#VALUE!</v>
      </c>
      <c r="AA17" s="65" t="e">
        <f aca="false">AA6*SUM(AA60:AA68)</f>
        <v>#VALUE!</v>
      </c>
      <c r="AB17" s="65" t="e">
        <f aca="false">AB6*SUM(AB60:AB68)</f>
        <v>#VALUE!</v>
      </c>
      <c r="AC17" s="65" t="e">
        <f aca="false">AC6*SUM(AC60:AC68)</f>
        <v>#VALUE!</v>
      </c>
      <c r="AD17" s="65" t="e">
        <f aca="false">AD6*SUM(AD60:AD68)</f>
        <v>#VALUE!</v>
      </c>
      <c r="AE17" s="65" t="e">
        <f aca="false">AE6*SUM(AE60:AE68)</f>
        <v>#VALUE!</v>
      </c>
      <c r="AF17" s="65" t="e">
        <f aca="false">AF6*SUM(AF60:AF68)</f>
        <v>#VALUE!</v>
      </c>
      <c r="AG17" s="65" t="e">
        <f aca="false">AG6*SUM(AG60:AG68)</f>
        <v>#VALUE!</v>
      </c>
      <c r="AH17" s="65" t="e">
        <f aca="false">AH6*SUM(AH60:AH68)</f>
        <v>#VALUE!</v>
      </c>
      <c r="AI17" s="65" t="e">
        <f aca="false">AI6*SUM(AI60:AI68)</f>
        <v>#VALUE!</v>
      </c>
      <c r="AJ17" s="65" t="e">
        <f aca="false">AJ6*SUM(AJ60:AJ68)</f>
        <v>#VALUE!</v>
      </c>
      <c r="AK17" s="65" t="e">
        <f aca="false">AK6*SUM(AK60:AK68)</f>
        <v>#VALUE!</v>
      </c>
      <c r="AL17" s="65" t="e">
        <f aca="false">AL6*SUM(AL60:AL68)</f>
        <v>#VALUE!</v>
      </c>
    </row>
    <row r="18" customFormat="false" ht="15" hidden="false" customHeight="false" outlineLevel="0" collapsed="false">
      <c r="B18" s="144" t="n">
        <v>0</v>
      </c>
      <c r="C18" s="0" t="s">
        <v>303</v>
      </c>
      <c r="E18" s="104" t="s">
        <v>72</v>
      </c>
      <c r="G18" s="65" t="e">
        <f aca="false">SUM(I18:AL18)</f>
        <v>#VALUE!</v>
      </c>
      <c r="H18" s="145" t="e">
        <f aca="false">G18/(Total_Capital_Required+Land_value)</f>
        <v>#NAME?</v>
      </c>
      <c r="I18" s="133" t="e">
        <f aca="false">SUM(I135:I137)*I6</f>
        <v>#VALUE!</v>
      </c>
      <c r="J18" s="133" t="e">
        <f aca="false">SUM(J135:J137)*J6</f>
        <v>#VALUE!</v>
      </c>
      <c r="K18" s="133" t="e">
        <f aca="false">SUM(K135:K137)*K6</f>
        <v>#VALUE!</v>
      </c>
      <c r="L18" s="133" t="e">
        <f aca="false">SUM(L135:L137)*L6</f>
        <v>#VALUE!</v>
      </c>
      <c r="M18" s="133" t="e">
        <f aca="false">SUM(M135:M137)*M6</f>
        <v>#VALUE!</v>
      </c>
      <c r="N18" s="133" t="e">
        <f aca="false">SUM(N135:N137)*N6</f>
        <v>#VALUE!</v>
      </c>
      <c r="O18" s="133" t="e">
        <f aca="false">SUM(O135:O137)*O6</f>
        <v>#VALUE!</v>
      </c>
      <c r="P18" s="133" t="e">
        <f aca="false">SUM(P135:P137)*P6</f>
        <v>#VALUE!</v>
      </c>
      <c r="Q18" s="133" t="e">
        <f aca="false">SUM(Q135:Q137)*Q6</f>
        <v>#VALUE!</v>
      </c>
      <c r="R18" s="133" t="e">
        <f aca="false">SUM(R135:R137)*R6</f>
        <v>#VALUE!</v>
      </c>
      <c r="S18" s="133" t="e">
        <f aca="false">SUM(S135:S137)*S6</f>
        <v>#VALUE!</v>
      </c>
      <c r="T18" s="133" t="e">
        <f aca="false">SUM(T135:T137)*T6</f>
        <v>#VALUE!</v>
      </c>
      <c r="U18" s="133" t="e">
        <f aca="false">SUM(U135:U137)*U6</f>
        <v>#VALUE!</v>
      </c>
      <c r="V18" s="133" t="e">
        <f aca="false">SUM(V135:V137)*V6</f>
        <v>#VALUE!</v>
      </c>
      <c r="W18" s="133" t="e">
        <f aca="false">SUM(W135:W137)*W6</f>
        <v>#VALUE!</v>
      </c>
      <c r="X18" s="133" t="e">
        <f aca="false">SUM(X135:X137)*X6</f>
        <v>#VALUE!</v>
      </c>
      <c r="Y18" s="133" t="e">
        <f aca="false">SUM(Y135:Y137)*Y6</f>
        <v>#VALUE!</v>
      </c>
      <c r="Z18" s="133" t="e">
        <f aca="false">SUM(Z135:Z137)*Z6</f>
        <v>#VALUE!</v>
      </c>
      <c r="AA18" s="133" t="e">
        <f aca="false">SUM(AA135:AA137)*AA6</f>
        <v>#VALUE!</v>
      </c>
      <c r="AB18" s="133" t="e">
        <f aca="false">SUM(AB135:AB137)*AB6</f>
        <v>#VALUE!</v>
      </c>
      <c r="AC18" s="133" t="e">
        <f aca="false">SUM(AC135:AC137)*AC6</f>
        <v>#VALUE!</v>
      </c>
      <c r="AD18" s="133" t="e">
        <f aca="false">SUM(AD135:AD137)*AD6</f>
        <v>#VALUE!</v>
      </c>
      <c r="AE18" s="133" t="e">
        <f aca="false">SUM(AE135:AE137)*AE6</f>
        <v>#VALUE!</v>
      </c>
      <c r="AF18" s="133" t="e">
        <f aca="false">SUM(AF135:AF137)*AF6</f>
        <v>#VALUE!</v>
      </c>
      <c r="AG18" s="133" t="e">
        <f aca="false">SUM(AG135:AG137)*AG6</f>
        <v>#VALUE!</v>
      </c>
      <c r="AH18" s="133" t="e">
        <f aca="false">SUM(AH135:AH137)*AH6</f>
        <v>#VALUE!</v>
      </c>
      <c r="AI18" s="133" t="e">
        <f aca="false">SUM(AI135:AI137)*AI6</f>
        <v>#VALUE!</v>
      </c>
      <c r="AJ18" s="133" t="e">
        <f aca="false">SUM(AJ135:AJ137)*AJ6</f>
        <v>#VALUE!</v>
      </c>
      <c r="AK18" s="133" t="e">
        <f aca="false">SUM(AK135:AK137)*AK6</f>
        <v>#VALUE!</v>
      </c>
      <c r="AL18" s="133" t="e">
        <f aca="false">SUM(AL135:AL137)*AL6</f>
        <v>#VALUE!</v>
      </c>
    </row>
    <row r="19" customFormat="false" ht="15" hidden="false" customHeight="false" outlineLevel="0" collapsed="false">
      <c r="C19" s="0" t="s">
        <v>304</v>
      </c>
      <c r="E19" s="104" t="s">
        <v>72</v>
      </c>
      <c r="G19" s="65" t="e">
        <f aca="false">SUM(I19:AL19)</f>
        <v>#VALUE!</v>
      </c>
      <c r="H19" s="145" t="e">
        <f aca="false">G19/(Total_Capital_Required+Land_value)</f>
        <v>#NAME?</v>
      </c>
      <c r="I19" s="133" t="e">
        <f aca="false">(I46-I17-I18)*I6</f>
        <v>#VALUE!</v>
      </c>
      <c r="J19" s="133" t="e">
        <f aca="false">(J46-J17-J18)*J6</f>
        <v>#VALUE!</v>
      </c>
      <c r="K19" s="133" t="e">
        <f aca="false">(K46-K17-K18)*K6</f>
        <v>#VALUE!</v>
      </c>
      <c r="L19" s="133" t="e">
        <f aca="false">(L46-L17-L18)*L6</f>
        <v>#VALUE!</v>
      </c>
      <c r="M19" s="133" t="e">
        <f aca="false">(M46-M17-M18)*M6</f>
        <v>#VALUE!</v>
      </c>
      <c r="N19" s="133" t="e">
        <f aca="false">(N46-N17-N18)*N6</f>
        <v>#VALUE!</v>
      </c>
      <c r="O19" s="133" t="e">
        <f aca="false">(O46-O17-O18)*O6</f>
        <v>#VALUE!</v>
      </c>
      <c r="P19" s="133" t="e">
        <f aca="false">(P46-P17-P18)*P6</f>
        <v>#VALUE!</v>
      </c>
      <c r="Q19" s="133" t="e">
        <f aca="false">(Q46-Q17-Q18)*Q6</f>
        <v>#VALUE!</v>
      </c>
      <c r="R19" s="133" t="e">
        <f aca="false">(R46-R17-R18)*R6</f>
        <v>#VALUE!</v>
      </c>
      <c r="S19" s="133" t="e">
        <f aca="false">(S46-S17-S18)*S6</f>
        <v>#VALUE!</v>
      </c>
      <c r="T19" s="133" t="e">
        <f aca="false">(T46-T17-T18)*T6</f>
        <v>#VALUE!</v>
      </c>
      <c r="U19" s="133" t="e">
        <f aca="false">(U46-U17-U18)*U6</f>
        <v>#VALUE!</v>
      </c>
      <c r="V19" s="133" t="e">
        <f aca="false">(V46-V17-V18)*V6</f>
        <v>#VALUE!</v>
      </c>
      <c r="W19" s="133" t="e">
        <f aca="false">(W46-W17-W18)*W6</f>
        <v>#VALUE!</v>
      </c>
      <c r="X19" s="133" t="e">
        <f aca="false">(X46-X17-X18)*X6</f>
        <v>#VALUE!</v>
      </c>
      <c r="Y19" s="133" t="e">
        <f aca="false">(Y46-Y17-Y18)*Y6</f>
        <v>#VALUE!</v>
      </c>
      <c r="Z19" s="133" t="e">
        <f aca="false">(Z46-Z17-Z18)*Z6</f>
        <v>#VALUE!</v>
      </c>
      <c r="AA19" s="133" t="e">
        <f aca="false">(AA46-AA17-AA18)*AA6</f>
        <v>#VALUE!</v>
      </c>
      <c r="AB19" s="133" t="e">
        <f aca="false">(AB46-AB17-AB18)*AB6</f>
        <v>#VALUE!</v>
      </c>
      <c r="AC19" s="133" t="e">
        <f aca="false">(AC46-AC17-AC18)*AC6</f>
        <v>#VALUE!</v>
      </c>
      <c r="AD19" s="133" t="e">
        <f aca="false">(AD46-AD17-AD18)*AD6</f>
        <v>#VALUE!</v>
      </c>
      <c r="AE19" s="133" t="e">
        <f aca="false">(AE46-AE17-AE18)*AE6</f>
        <v>#VALUE!</v>
      </c>
      <c r="AF19" s="133" t="e">
        <f aca="false">(AF46-AF17-AF18)*AF6</f>
        <v>#VALUE!</v>
      </c>
      <c r="AG19" s="133" t="e">
        <f aca="false">(AG46-AG17-AG18)*AG6</f>
        <v>#VALUE!</v>
      </c>
      <c r="AH19" s="133" t="e">
        <f aca="false">(AH46-AH17-AH18)*AH6</f>
        <v>#VALUE!</v>
      </c>
      <c r="AI19" s="133" t="e">
        <f aca="false">(AI46-AI17-AI18)*AI6</f>
        <v>#VALUE!</v>
      </c>
      <c r="AJ19" s="133" t="e">
        <f aca="false">(AJ46-AJ17-AJ18)*AJ6</f>
        <v>#VALUE!</v>
      </c>
      <c r="AK19" s="133" t="e">
        <f aca="false">(AK46-AK17-AK18)*AK6</f>
        <v>#VALUE!</v>
      </c>
      <c r="AL19" s="133" t="e">
        <f aca="false">(AL46-AL17-AL18)*AL6</f>
        <v>#VALUE!</v>
      </c>
    </row>
    <row r="20" customFormat="false" ht="15" hidden="false" customHeight="false" outlineLevel="0" collapsed="false">
      <c r="B20" s="65"/>
      <c r="C20" s="117"/>
      <c r="D20" s="117"/>
      <c r="E20" s="118"/>
      <c r="F20" s="117"/>
      <c r="G20" s="124" t="e">
        <f aca="false">SUM(G17:G19)</f>
        <v>#VALUE!</v>
      </c>
      <c r="H20" s="146"/>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customFormat="false" ht="15" hidden="false" customHeight="false" outlineLevel="0" collapsed="false">
      <c r="B21" s="65" t="e">
        <f aca="false">G17+Total_Secondary_Loan+G28</f>
        <v>#VALUE!</v>
      </c>
      <c r="C21" s="140" t="s">
        <v>305</v>
      </c>
      <c r="E21" s="0"/>
      <c r="G21" s="65"/>
      <c r="H21" s="146"/>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customFormat="false" ht="15" hidden="false" customHeight="false" outlineLevel="0" collapsed="false">
      <c r="C22" s="140" t="s">
        <v>306</v>
      </c>
      <c r="E22" s="104" t="s">
        <v>72</v>
      </c>
      <c r="G22" s="65" t="e">
        <f aca="false">SUM(I22:AL22)</f>
        <v>#VALUE!</v>
      </c>
      <c r="H22" s="145" t="e">
        <f aca="false">G22/G$19</f>
        <v>#VALUE!</v>
      </c>
      <c r="I22" s="133" t="e">
        <f aca="false">I19-I24-I23</f>
        <v>#VALUE!</v>
      </c>
      <c r="J22" s="133" t="e">
        <f aca="false">J19-J24-J23</f>
        <v>#VALUE!</v>
      </c>
      <c r="K22" s="133" t="e">
        <f aca="false">K19-K24-K23</f>
        <v>#VALUE!</v>
      </c>
      <c r="L22" s="133" t="e">
        <f aca="false">L19-L24-L23</f>
        <v>#VALUE!</v>
      </c>
      <c r="M22" s="133" t="e">
        <f aca="false">M19-M24-M23</f>
        <v>#VALUE!</v>
      </c>
      <c r="N22" s="133" t="e">
        <f aca="false">N19-N24-N23</f>
        <v>#VALUE!</v>
      </c>
      <c r="O22" s="133" t="e">
        <f aca="false">O19-O24-O23</f>
        <v>#VALUE!</v>
      </c>
      <c r="P22" s="133" t="e">
        <f aca="false">P19-P24-P23</f>
        <v>#VALUE!</v>
      </c>
      <c r="Q22" s="133" t="e">
        <f aca="false">Q19-Q24-Q23</f>
        <v>#VALUE!</v>
      </c>
      <c r="R22" s="133" t="e">
        <f aca="false">R19-R24-R23</f>
        <v>#VALUE!</v>
      </c>
      <c r="S22" s="133" t="e">
        <f aca="false">S19-S24-S23</f>
        <v>#VALUE!</v>
      </c>
      <c r="T22" s="133" t="e">
        <f aca="false">T19-T24-T23</f>
        <v>#VALUE!</v>
      </c>
      <c r="U22" s="133" t="e">
        <f aca="false">U19-U24-U23</f>
        <v>#VALUE!</v>
      </c>
      <c r="V22" s="133" t="e">
        <f aca="false">V19-V24-V23</f>
        <v>#VALUE!</v>
      </c>
      <c r="W22" s="133" t="e">
        <f aca="false">W19-W24-W23</f>
        <v>#VALUE!</v>
      </c>
      <c r="X22" s="133" t="e">
        <f aca="false">X19-X24-X23</f>
        <v>#VALUE!</v>
      </c>
      <c r="Y22" s="133" t="e">
        <f aca="false">Y19-Y24-Y23</f>
        <v>#VALUE!</v>
      </c>
      <c r="Z22" s="133" t="e">
        <f aca="false">Z19-Z24-Z23</f>
        <v>#VALUE!</v>
      </c>
      <c r="AA22" s="133" t="e">
        <f aca="false">AA19-AA24-AA23</f>
        <v>#VALUE!</v>
      </c>
      <c r="AB22" s="133" t="e">
        <f aca="false">AB19-AB24-AB23</f>
        <v>#VALUE!</v>
      </c>
      <c r="AC22" s="133" t="e">
        <f aca="false">AC19-AC24-AC23</f>
        <v>#VALUE!</v>
      </c>
      <c r="AD22" s="133" t="e">
        <f aca="false">AD19-AD24-AD23</f>
        <v>#VALUE!</v>
      </c>
      <c r="AE22" s="133" t="e">
        <f aca="false">AE19-AE24-AE23</f>
        <v>#VALUE!</v>
      </c>
      <c r="AF22" s="133" t="e">
        <f aca="false">AF19-AF24-AF23</f>
        <v>#VALUE!</v>
      </c>
      <c r="AG22" s="133" t="e">
        <f aca="false">AG19-AG24-AG23</f>
        <v>#VALUE!</v>
      </c>
      <c r="AH22" s="133" t="e">
        <f aca="false">AH19-AH24-AH23</f>
        <v>#VALUE!</v>
      </c>
      <c r="AI22" s="133" t="e">
        <f aca="false">AI19-AI24-AI23</f>
        <v>#VALUE!</v>
      </c>
      <c r="AJ22" s="133" t="e">
        <f aca="false">AJ19-AJ24-AJ23</f>
        <v>#VALUE!</v>
      </c>
      <c r="AK22" s="133" t="e">
        <f aca="false">AK19-AK24-AK23</f>
        <v>#VALUE!</v>
      </c>
      <c r="AL22" s="133" t="e">
        <f aca="false">AL19-AL24-AL23</f>
        <v>#VALUE!</v>
      </c>
    </row>
    <row r="23" customFormat="false" ht="15" hidden="false" customHeight="false" outlineLevel="0" collapsed="false">
      <c r="C23" s="140" t="s">
        <v>307</v>
      </c>
      <c r="E23" s="104" t="s">
        <v>72</v>
      </c>
      <c r="G23" s="65" t="e">
        <f aca="false">SUM(I23:AL23)</f>
        <v>#NAME?</v>
      </c>
      <c r="H23" s="145" t="e">
        <f aca="false">G23/G$19</f>
        <v>#NAME?</v>
      </c>
      <c r="I23" s="133" t="e">
        <f aca="false">I49+I48</f>
        <v>#NAME?</v>
      </c>
      <c r="J23" s="133" t="e">
        <f aca="false">J49+J48</f>
        <v>#NAME?</v>
      </c>
      <c r="K23" s="133" t="e">
        <f aca="false">K49+K48</f>
        <v>#NAME?</v>
      </c>
      <c r="L23" s="133" t="e">
        <f aca="false">L49+L48</f>
        <v>#NAME?</v>
      </c>
      <c r="M23" s="133" t="e">
        <f aca="false">M49+M48</f>
        <v>#NAME?</v>
      </c>
      <c r="N23" s="133" t="e">
        <f aca="false">N49+N48</f>
        <v>#NAME?</v>
      </c>
      <c r="O23" s="133" t="e">
        <f aca="false">O49+O48</f>
        <v>#NAME?</v>
      </c>
      <c r="P23" s="133" t="e">
        <f aca="false">P49+P48</f>
        <v>#NAME?</v>
      </c>
      <c r="Q23" s="133" t="e">
        <f aca="false">Q49+Q48</f>
        <v>#NAME?</v>
      </c>
      <c r="R23" s="133" t="e">
        <f aca="false">R49+R48</f>
        <v>#NAME?</v>
      </c>
      <c r="S23" s="133" t="e">
        <f aca="false">S49+S48</f>
        <v>#NAME?</v>
      </c>
      <c r="T23" s="133" t="e">
        <f aca="false">T49+T48</f>
        <v>#NAME?</v>
      </c>
      <c r="U23" s="133" t="e">
        <f aca="false">U49+U48</f>
        <v>#NAME?</v>
      </c>
      <c r="V23" s="133" t="e">
        <f aca="false">V49+V48</f>
        <v>#NAME?</v>
      </c>
      <c r="W23" s="133" t="e">
        <f aca="false">W49+W48</f>
        <v>#NAME?</v>
      </c>
      <c r="X23" s="133" t="e">
        <f aca="false">X49+X48</f>
        <v>#NAME?</v>
      </c>
      <c r="Y23" s="133" t="e">
        <f aca="false">Y49+Y48</f>
        <v>#NAME?</v>
      </c>
      <c r="Z23" s="133" t="e">
        <f aca="false">Z49+Z48</f>
        <v>#NAME?</v>
      </c>
      <c r="AA23" s="133" t="e">
        <f aca="false">AA49+AA48</f>
        <v>#NAME?</v>
      </c>
      <c r="AB23" s="133" t="e">
        <f aca="false">AB49+AB48</f>
        <v>#NAME?</v>
      </c>
      <c r="AC23" s="133" t="e">
        <f aca="false">AC49+AC48</f>
        <v>#NAME?</v>
      </c>
      <c r="AD23" s="133" t="e">
        <f aca="false">AD49+AD48</f>
        <v>#NAME?</v>
      </c>
      <c r="AE23" s="133" t="e">
        <f aca="false">AE49+AE48</f>
        <v>#NAME?</v>
      </c>
      <c r="AF23" s="133" t="e">
        <f aca="false">AF49+AF48</f>
        <v>#NAME?</v>
      </c>
      <c r="AG23" s="133" t="e">
        <f aca="false">AG49+AG48</f>
        <v>#NAME?</v>
      </c>
      <c r="AH23" s="133" t="e">
        <f aca="false">AH49+AH48</f>
        <v>#NAME?</v>
      </c>
      <c r="AI23" s="133" t="e">
        <f aca="false">AI49+AI48</f>
        <v>#NAME?</v>
      </c>
      <c r="AJ23" s="133" t="e">
        <f aca="false">AJ49+AJ48</f>
        <v>#NAME?</v>
      </c>
      <c r="AK23" s="133" t="e">
        <f aca="false">AK49+AK48</f>
        <v>#NAME?</v>
      </c>
      <c r="AL23" s="133" t="e">
        <f aca="false">AL49+AL48</f>
        <v>#NAME?</v>
      </c>
    </row>
    <row r="24" customFormat="false" ht="15" hidden="false" customHeight="false" outlineLevel="0" collapsed="false">
      <c r="C24" s="140" t="s">
        <v>308</v>
      </c>
      <c r="E24" s="104" t="s">
        <v>72</v>
      </c>
      <c r="G24" s="143" t="e">
        <f aca="false">SUM(I24:AL24)</f>
        <v>#NAME?</v>
      </c>
      <c r="H24" s="145" t="e">
        <f aca="false">G24/G$19</f>
        <v>#NAME?</v>
      </c>
      <c r="I24" s="133" t="e">
        <f aca="false">I50</f>
        <v>#NAME?</v>
      </c>
      <c r="J24" s="133" t="e">
        <f aca="false">J50</f>
        <v>#NAME?</v>
      </c>
      <c r="K24" s="133" t="e">
        <f aca="false">K50</f>
        <v>#NAME?</v>
      </c>
      <c r="L24" s="133" t="e">
        <f aca="false">L50</f>
        <v>#NAME?</v>
      </c>
      <c r="M24" s="133" t="e">
        <f aca="false">M50</f>
        <v>#NAME?</v>
      </c>
      <c r="N24" s="133" t="e">
        <f aca="false">N50</f>
        <v>#NAME?</v>
      </c>
      <c r="O24" s="133" t="e">
        <f aca="false">O50</f>
        <v>#NAME?</v>
      </c>
      <c r="P24" s="133" t="e">
        <f aca="false">P50</f>
        <v>#NAME?</v>
      </c>
      <c r="Q24" s="133" t="e">
        <f aca="false">Q50</f>
        <v>#NAME?</v>
      </c>
      <c r="R24" s="133" t="e">
        <f aca="false">R50</f>
        <v>#NAME?</v>
      </c>
      <c r="S24" s="133" t="e">
        <f aca="false">S50</f>
        <v>#NAME?</v>
      </c>
      <c r="T24" s="133" t="e">
        <f aca="false">T50</f>
        <v>#NAME?</v>
      </c>
      <c r="U24" s="133" t="e">
        <f aca="false">U50</f>
        <v>#NAME?</v>
      </c>
      <c r="V24" s="133" t="e">
        <f aca="false">V50</f>
        <v>#NAME?</v>
      </c>
      <c r="W24" s="133" t="e">
        <f aca="false">W50</f>
        <v>#NAME?</v>
      </c>
      <c r="X24" s="133" t="e">
        <f aca="false">X50</f>
        <v>#NAME?</v>
      </c>
      <c r="Y24" s="133" t="e">
        <f aca="false">Y50</f>
        <v>#NAME?</v>
      </c>
      <c r="Z24" s="133" t="e">
        <f aca="false">Z50</f>
        <v>#NAME?</v>
      </c>
      <c r="AA24" s="133" t="e">
        <f aca="false">AA50</f>
        <v>#NAME?</v>
      </c>
      <c r="AB24" s="133" t="e">
        <f aca="false">AB50</f>
        <v>#NAME?</v>
      </c>
      <c r="AC24" s="133" t="e">
        <f aca="false">AC50</f>
        <v>#NAME?</v>
      </c>
      <c r="AD24" s="133" t="e">
        <f aca="false">AD50</f>
        <v>#NAME?</v>
      </c>
      <c r="AE24" s="133" t="e">
        <f aca="false">AE50</f>
        <v>#NAME?</v>
      </c>
      <c r="AF24" s="133" t="e">
        <f aca="false">AF50</f>
        <v>#NAME?</v>
      </c>
      <c r="AG24" s="133" t="e">
        <f aca="false">AG50</f>
        <v>#NAME?</v>
      </c>
      <c r="AH24" s="133" t="e">
        <f aca="false">AH50</f>
        <v>#NAME?</v>
      </c>
      <c r="AI24" s="133" t="e">
        <f aca="false">AI50</f>
        <v>#NAME?</v>
      </c>
      <c r="AJ24" s="133" t="e">
        <f aca="false">AJ50</f>
        <v>#NAME?</v>
      </c>
      <c r="AK24" s="133" t="e">
        <f aca="false">AK50</f>
        <v>#NAME?</v>
      </c>
      <c r="AL24" s="133" t="e">
        <f aca="false">AL50</f>
        <v>#NAME?</v>
      </c>
    </row>
    <row r="25" customFormat="false" ht="15" hidden="false" customHeight="false" outlineLevel="0" collapsed="false">
      <c r="C25" s="140"/>
      <c r="E25" s="0"/>
      <c r="G25" s="65"/>
      <c r="H25" s="145"/>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row>
    <row r="26" customFormat="false" ht="15" hidden="false" customHeight="false" outlineLevel="0" collapsed="false">
      <c r="C26" s="140" t="s">
        <v>309</v>
      </c>
      <c r="E26" s="104" t="s">
        <v>72</v>
      </c>
      <c r="G26" s="65" t="e">
        <f aca="false">G49</f>
        <v>#NAME?</v>
      </c>
      <c r="H26" s="147" t="e">
        <f aca="false">G26/G19</f>
        <v>#NAME?</v>
      </c>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row>
    <row r="27" customFormat="false" ht="15" hidden="false" customHeight="false" outlineLevel="0" collapsed="false">
      <c r="C27" s="140" t="s">
        <v>310</v>
      </c>
      <c r="E27" s="104" t="s">
        <v>72</v>
      </c>
      <c r="G27" s="65" t="e">
        <f aca="false">G48</f>
        <v>#NAME?</v>
      </c>
      <c r="H27" s="147" t="e">
        <f aca="false">G27/G19</f>
        <v>#NAME?</v>
      </c>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row>
    <row r="28" customFormat="false" ht="15" hidden="false" customHeight="false" outlineLevel="0" collapsed="false">
      <c r="A28" s="133"/>
      <c r="B28" s="144" t="e">
        <f aca="false">G28/Total_Capital_Required</f>
        <v>#VALUE!</v>
      </c>
      <c r="C28" s="140" t="s">
        <v>311</v>
      </c>
      <c r="E28" s="104" t="s">
        <v>72</v>
      </c>
      <c r="G28" s="148" t="e">
        <f aca="false">G19-G26</f>
        <v>#VALUE!</v>
      </c>
      <c r="H28" s="0"/>
      <c r="I28" s="149"/>
      <c r="J28" s="149"/>
    </row>
    <row r="29" customFormat="false" ht="15" hidden="false" customHeight="false" outlineLevel="0" collapsed="false">
      <c r="A29" s="133"/>
      <c r="B29" s="144" t="e">
        <f aca="false">G29/Total_Capital_Required</f>
        <v>#VALUE!</v>
      </c>
      <c r="C29" s="140" t="s">
        <v>312</v>
      </c>
      <c r="E29" s="104" t="s">
        <v>72</v>
      </c>
      <c r="G29" s="148" t="e">
        <f aca="false">G22</f>
        <v>#VALUE!</v>
      </c>
      <c r="H29" s="0"/>
      <c r="I29" s="149"/>
      <c r="J29" s="149"/>
    </row>
    <row r="30" customFormat="false" ht="15" hidden="false" customHeight="false" outlineLevel="0" collapsed="false">
      <c r="A30" s="133"/>
      <c r="B30" s="144" t="e">
        <f aca="false">G30/Total_Capital_Required</f>
        <v>#NAME?</v>
      </c>
      <c r="C30" s="140" t="s">
        <v>313</v>
      </c>
      <c r="E30" s="104" t="s">
        <v>72</v>
      </c>
      <c r="G30" s="148" t="e">
        <f aca="false">G27</f>
        <v>#NAME?</v>
      </c>
      <c r="H30" s="0"/>
      <c r="I30" s="149"/>
      <c r="J30" s="149"/>
    </row>
    <row r="31" customFormat="false" ht="15" hidden="false" customHeight="false" outlineLevel="0" collapsed="false">
      <c r="A31" s="133"/>
      <c r="B31" s="144"/>
      <c r="C31" s="140" t="s">
        <v>251</v>
      </c>
      <c r="E31" s="104" t="s">
        <v>72</v>
      </c>
      <c r="G31" s="148" t="e">
        <f aca="false">G29+G30+G24</f>
        <v>#VALUE!</v>
      </c>
      <c r="H31" s="0"/>
      <c r="I31" s="149"/>
      <c r="J31" s="149"/>
    </row>
    <row r="32" customFormat="false" ht="15" hidden="false" customHeight="false" outlineLevel="0" collapsed="false">
      <c r="B32" s="150" t="e">
        <f aca="false">(MAX($A$7:B28)+0.1)</f>
        <v>#VALUE!</v>
      </c>
      <c r="C32" s="2" t="s">
        <v>314</v>
      </c>
      <c r="E32" s="0"/>
      <c r="G32" s="151"/>
      <c r="H32" s="0"/>
    </row>
    <row r="33" customFormat="false" ht="15" hidden="false" customHeight="false" outlineLevel="0" collapsed="false">
      <c r="E33" s="0"/>
      <c r="G33" s="133"/>
      <c r="H33" s="0"/>
    </row>
    <row r="34" customFormat="false" ht="15" hidden="false" customHeight="false" outlineLevel="0" collapsed="false">
      <c r="C34" s="0" t="s">
        <v>315</v>
      </c>
      <c r="E34" s="104" t="s">
        <v>34</v>
      </c>
      <c r="H34" s="0"/>
      <c r="I34" s="139" t="n">
        <f aca="true">OFFSET(Parameters!T72,,3-Dev_Period)*I6</f>
        <v>1</v>
      </c>
      <c r="J34" s="139" t="n">
        <f aca="true">OFFSET(Parameters!U72,,3-Dev_Period)*J6</f>
        <v>0</v>
      </c>
      <c r="K34" s="139" t="n">
        <f aca="true">OFFSET(Parameters!V72,,3-Dev_Period)*K6</f>
        <v>0</v>
      </c>
      <c r="L34" s="139" t="n">
        <f aca="true">OFFSET(Parameters!W72,,3-Dev_Period)*L6</f>
        <v>0</v>
      </c>
      <c r="M34" s="139" t="n">
        <f aca="true">OFFSET(Parameters!AA72,,3-Dev_Period)*M6</f>
        <v>0</v>
      </c>
      <c r="N34" s="139" t="n">
        <f aca="true">OFFSET(Parameters!AB72,,3-Dev_Period)*N6</f>
        <v>0</v>
      </c>
      <c r="O34" s="139" t="n">
        <f aca="true">OFFSET(Parameters!AD72,,3-Dev_Period)*O6</f>
        <v>0</v>
      </c>
      <c r="P34" s="139" t="n">
        <f aca="true">OFFSET(Parameters!AE72,,3-Dev_Period)*P6</f>
        <v>0</v>
      </c>
      <c r="Q34" s="139" t="n">
        <f aca="true">OFFSET(Parameters!AF72,,3-Dev_Period)*Q6</f>
        <v>0</v>
      </c>
      <c r="R34" s="139" t="n">
        <f aca="true">OFFSET(Parameters!AG72,,3-Dev_Period)*R6</f>
        <v>0</v>
      </c>
      <c r="S34" s="139" t="n">
        <f aca="true">OFFSET(Parameters!AH72,,3-Dev_Period)*S6</f>
        <v>0</v>
      </c>
      <c r="T34" s="139" t="n">
        <f aca="true">OFFSET(Parameters!AI72,,3-Dev_Period)*T6</f>
        <v>0</v>
      </c>
      <c r="U34" s="139" t="n">
        <f aca="true">OFFSET(Parameters!AJ72,,3-Dev_Period)*U6</f>
        <v>0</v>
      </c>
      <c r="V34" s="139" t="n">
        <f aca="true">OFFSET(Parameters!AK72,,3-Dev_Period)*V6</f>
        <v>0</v>
      </c>
      <c r="W34" s="139" t="n">
        <f aca="true">OFFSET(Parameters!AL72,,3-Dev_Period)*W6</f>
        <v>0</v>
      </c>
      <c r="X34" s="139" t="n">
        <f aca="true">OFFSET(Parameters!AM72,,3-Dev_Period)*X6</f>
        <v>0</v>
      </c>
      <c r="Y34" s="139" t="n">
        <f aca="true">OFFSET(Parameters!AN72,,3-Dev_Period)*Y6</f>
        <v>0</v>
      </c>
      <c r="Z34" s="139" t="n">
        <f aca="true">OFFSET(Parameters!AO72,,3-Dev_Period)*Z6</f>
        <v>0</v>
      </c>
      <c r="AA34" s="139" t="n">
        <f aca="true">OFFSET(Parameters!AP72,,3-Dev_Period)*AA6</f>
        <v>0</v>
      </c>
      <c r="AB34" s="139" t="n">
        <f aca="true">OFFSET(Parameters!AQ72,,3-Dev_Period)*AB6</f>
        <v>0</v>
      </c>
      <c r="AC34" s="139" t="n">
        <f aca="true">OFFSET(Parameters!AR72,,3-Dev_Period)*AC6</f>
        <v>0</v>
      </c>
      <c r="AD34" s="139" t="n">
        <f aca="true">OFFSET(Parameters!AS72,,3-Dev_Period)*AD6</f>
        <v>0</v>
      </c>
      <c r="AE34" s="139" t="n">
        <f aca="true">OFFSET(Parameters!AT72,,3-Dev_Period)*AE6</f>
        <v>0</v>
      </c>
      <c r="AF34" s="139" t="n">
        <f aca="true">OFFSET(Parameters!AU72,,3-Dev_Period)*AF6</f>
        <v>0</v>
      </c>
      <c r="AG34" s="139" t="n">
        <f aca="true">OFFSET(Parameters!AV72,,3-Dev_Period)*AG6</f>
        <v>0</v>
      </c>
      <c r="AH34" s="139" t="n">
        <f aca="true">OFFSET(Parameters!AW72,,3-Dev_Period)*AH6</f>
        <v>0</v>
      </c>
      <c r="AI34" s="139" t="n">
        <f aca="true">OFFSET(Parameters!AX72,,3-Dev_Period)*AI6</f>
        <v>0</v>
      </c>
      <c r="AJ34" s="139" t="n">
        <f aca="true">OFFSET(Parameters!AY72,,3-Dev_Period)*AJ6</f>
        <v>0</v>
      </c>
      <c r="AK34" s="139" t="n">
        <f aca="true">OFFSET(Parameters!AZ72,,3-Dev_Period)*AK6</f>
        <v>0</v>
      </c>
      <c r="AL34" s="139" t="n">
        <f aca="true">OFFSET(Parameters!BA72,,3-Dev_Period)*AL6</f>
        <v>0</v>
      </c>
    </row>
    <row r="35" customFormat="false" ht="15" hidden="false" customHeight="false" outlineLevel="0" collapsed="false">
      <c r="C35" s="0" t="s">
        <v>227</v>
      </c>
      <c r="E35" s="104" t="s">
        <v>72</v>
      </c>
      <c r="G35" s="133" t="n">
        <f aca="false">SUM(I35:AL35)</f>
        <v>24210000</v>
      </c>
      <c r="H35" s="0"/>
      <c r="I35" s="133" t="e">
        <f aca="false">I34*Hard_CAPEX+I9*(dev_fee_bank_paid?="yes")*Developer_Fee</f>
        <v>#VALUE!</v>
      </c>
      <c r="J35" s="133" t="e">
        <f aca="false">J34*Hard_CAPEX+J9*(dev_fee_bank_paid?="yes")*Developer_Fee</f>
        <v>#VALUE!</v>
      </c>
      <c r="K35" s="133" t="e">
        <f aca="false">K34*Hard_CAPEX+K9*(dev_fee_bank_paid?="yes")*Developer_Fee</f>
        <v>#VALUE!</v>
      </c>
      <c r="L35" s="133" t="e">
        <f aca="false">L34*Hard_CAPEX+L9*(dev_fee_bank_paid?="yes")*Developer_Fee</f>
        <v>#VALUE!</v>
      </c>
      <c r="M35" s="133" t="e">
        <f aca="false">M34*Hard_CAPEX+M9*(dev_fee_bank_paid?="yes")*Developer_Fee</f>
        <v>#VALUE!</v>
      </c>
      <c r="N35" s="133" t="e">
        <f aca="false">N34*Hard_CAPEX+N9*(dev_fee_bank_paid?="yes")*Developer_Fee</f>
        <v>#VALUE!</v>
      </c>
      <c r="O35" s="133" t="e">
        <f aca="false">O34*Hard_CAPEX+O9*(dev_fee_bank_paid?="yes")*Developer_Fee</f>
        <v>#VALUE!</v>
      </c>
      <c r="P35" s="133" t="e">
        <f aca="false">P34*Hard_CAPEX+P9*(dev_fee_bank_paid?="yes")*Developer_Fee</f>
        <v>#VALUE!</v>
      </c>
      <c r="Q35" s="133" t="e">
        <f aca="false">Q34*Hard_CAPEX+Q9*(dev_fee_bank_paid?="yes")*Developer_Fee</f>
        <v>#VALUE!</v>
      </c>
      <c r="R35" s="133" t="e">
        <f aca="false">R34*Hard_CAPEX+R9*(dev_fee_bank_paid?="yes")*Developer_Fee</f>
        <v>#VALUE!</v>
      </c>
      <c r="S35" s="133" t="e">
        <f aca="false">S34*Hard_CAPEX+S9*(dev_fee_bank_paid?="yes")*Developer_Fee</f>
        <v>#VALUE!</v>
      </c>
      <c r="T35" s="133" t="e">
        <f aca="false">T34*Hard_CAPEX+T9*(dev_fee_bank_paid?="yes")*Developer_Fee</f>
        <v>#VALUE!</v>
      </c>
      <c r="U35" s="133" t="e">
        <f aca="false">U34*Hard_CAPEX+U9*(dev_fee_bank_paid?="yes")*Developer_Fee</f>
        <v>#VALUE!</v>
      </c>
      <c r="V35" s="133" t="e">
        <f aca="false">V34*Hard_CAPEX+V9*(dev_fee_bank_paid?="yes")*Developer_Fee</f>
        <v>#VALUE!</v>
      </c>
      <c r="W35" s="133" t="e">
        <f aca="false">W34*Hard_CAPEX+W9*(dev_fee_bank_paid?="yes")*Developer_Fee</f>
        <v>#VALUE!</v>
      </c>
      <c r="X35" s="133" t="e">
        <f aca="false">X34*Hard_CAPEX+X9*(dev_fee_bank_paid?="yes")*Developer_Fee</f>
        <v>#VALUE!</v>
      </c>
      <c r="Y35" s="133" t="e">
        <f aca="false">Y34*Hard_CAPEX+Y9*(dev_fee_bank_paid?="yes")*Developer_Fee</f>
        <v>#VALUE!</v>
      </c>
      <c r="Z35" s="133" t="e">
        <f aca="false">Z34*Hard_CAPEX+Z9*(dev_fee_bank_paid?="yes")*Developer_Fee</f>
        <v>#VALUE!</v>
      </c>
      <c r="AA35" s="133" t="e">
        <f aca="false">AA34*Hard_CAPEX+AA9*(dev_fee_bank_paid?="yes")*Developer_Fee</f>
        <v>#VALUE!</v>
      </c>
      <c r="AB35" s="133" t="e">
        <f aca="false">AB34*Hard_CAPEX+AB9*(dev_fee_bank_paid?="yes")*Developer_Fee</f>
        <v>#VALUE!</v>
      </c>
      <c r="AC35" s="133" t="e">
        <f aca="false">AC34*Hard_CAPEX+AC9*(dev_fee_bank_paid?="yes")*Developer_Fee</f>
        <v>#VALUE!</v>
      </c>
      <c r="AD35" s="133" t="e">
        <f aca="false">AD34*Hard_CAPEX+AD9*(dev_fee_bank_paid?="yes")*Developer_Fee</f>
        <v>#VALUE!</v>
      </c>
      <c r="AE35" s="133" t="e">
        <f aca="false">AE34*Hard_CAPEX+AE9*(dev_fee_bank_paid?="yes")*Developer_Fee</f>
        <v>#VALUE!</v>
      </c>
      <c r="AF35" s="133" t="e">
        <f aca="false">AF34*Hard_CAPEX+AF9*(dev_fee_bank_paid?="yes")*Developer_Fee</f>
        <v>#VALUE!</v>
      </c>
      <c r="AG35" s="133" t="e">
        <f aca="false">AG34*Hard_CAPEX+AG9*(dev_fee_bank_paid?="yes")*Developer_Fee</f>
        <v>#VALUE!</v>
      </c>
      <c r="AH35" s="133" t="e">
        <f aca="false">AH34*Hard_CAPEX+AH9*(dev_fee_bank_paid?="yes")*Developer_Fee</f>
        <v>#VALUE!</v>
      </c>
      <c r="AI35" s="133" t="e">
        <f aca="false">AI34*Hard_CAPEX+AI9*(dev_fee_bank_paid?="yes")*Developer_Fee</f>
        <v>#VALUE!</v>
      </c>
      <c r="AJ35" s="133" t="e">
        <f aca="false">AJ34*Hard_CAPEX+AJ9*(dev_fee_bank_paid?="yes")*Developer_Fee</f>
        <v>#VALUE!</v>
      </c>
      <c r="AK35" s="133" t="e">
        <f aca="false">AK34*Hard_CAPEX+AK9*(dev_fee_bank_paid?="yes")*Developer_Fee</f>
        <v>#VALUE!</v>
      </c>
      <c r="AL35" s="133" t="e">
        <f aca="false">AL34*Hard_CAPEX+AL9*(dev_fee_bank_paid?="yes")*Developer_Fee</f>
        <v>#VALUE!</v>
      </c>
    </row>
    <row r="36" customFormat="false" ht="15" hidden="false" customHeight="false" outlineLevel="0" collapsed="false">
      <c r="C36" s="0" t="s">
        <v>153</v>
      </c>
      <c r="E36" s="104" t="s">
        <v>72</v>
      </c>
      <c r="G36" s="133" t="n">
        <f aca="false">SUM(I36:AL36)</f>
        <v>46060.9479693209</v>
      </c>
      <c r="H36" s="0"/>
      <c r="I36" s="152" t="n">
        <v>46060.9479693209</v>
      </c>
      <c r="J36" s="152" t="n">
        <v>0</v>
      </c>
      <c r="K36" s="152" t="n">
        <v>0</v>
      </c>
      <c r="L36" s="152" t="n">
        <v>0</v>
      </c>
      <c r="M36" s="152" t="n">
        <v>0</v>
      </c>
      <c r="N36" s="152" t="n">
        <v>0</v>
      </c>
      <c r="O36" s="152" t="n">
        <v>0</v>
      </c>
      <c r="P36" s="152" t="n">
        <v>0</v>
      </c>
      <c r="Q36" s="152" t="n">
        <v>0</v>
      </c>
      <c r="R36" s="152" t="n">
        <v>0</v>
      </c>
      <c r="S36" s="152" t="n">
        <v>0</v>
      </c>
      <c r="T36" s="152" t="n">
        <v>0</v>
      </c>
      <c r="U36" s="152" t="n">
        <v>0</v>
      </c>
      <c r="V36" s="152" t="n">
        <v>0</v>
      </c>
      <c r="W36" s="152" t="n">
        <v>0</v>
      </c>
      <c r="X36" s="152" t="n">
        <v>0</v>
      </c>
      <c r="Y36" s="152" t="n">
        <v>0</v>
      </c>
      <c r="Z36" s="152" t="n">
        <v>0</v>
      </c>
      <c r="AA36" s="152" t="n">
        <v>0</v>
      </c>
      <c r="AB36" s="152" t="n">
        <v>0</v>
      </c>
      <c r="AC36" s="152" t="n">
        <v>0</v>
      </c>
      <c r="AD36" s="152" t="n">
        <v>0</v>
      </c>
      <c r="AE36" s="152" t="n">
        <v>0</v>
      </c>
      <c r="AF36" s="152" t="n">
        <v>0</v>
      </c>
      <c r="AG36" s="152" t="n">
        <v>0</v>
      </c>
      <c r="AH36" s="152" t="n">
        <v>0</v>
      </c>
      <c r="AI36" s="152" t="n">
        <v>0</v>
      </c>
      <c r="AJ36" s="152" t="n">
        <v>0</v>
      </c>
      <c r="AK36" s="152" t="n">
        <v>0</v>
      </c>
      <c r="AL36" s="152" t="n">
        <v>0</v>
      </c>
    </row>
    <row r="37" customFormat="false" ht="15" hidden="false" customHeight="false" outlineLevel="0" collapsed="false">
      <c r="C37" s="0" t="s">
        <v>228</v>
      </c>
      <c r="E37" s="104" t="s">
        <v>72</v>
      </c>
      <c r="G37" s="133" t="n">
        <f aca="false">SUM(I37:AL37)</f>
        <v>509284.272068314</v>
      </c>
      <c r="H37" s="0"/>
      <c r="I37" s="133" t="n">
        <f aca="false">I218*I$9</f>
        <v>509284.272068314</v>
      </c>
      <c r="J37" s="133" t="n">
        <f aca="false">J218*J$9</f>
        <v>0</v>
      </c>
      <c r="K37" s="133" t="n">
        <f aca="false">K218*K$9</f>
        <v>0</v>
      </c>
      <c r="L37" s="133" t="n">
        <f aca="false">L218*L$9</f>
        <v>0</v>
      </c>
      <c r="M37" s="133" t="n">
        <f aca="false">M218*M$9</f>
        <v>0</v>
      </c>
      <c r="N37" s="133" t="n">
        <f aca="false">N218*N$9</f>
        <v>0</v>
      </c>
      <c r="O37" s="133" t="n">
        <f aca="false">O218*O$9</f>
        <v>0</v>
      </c>
      <c r="P37" s="133" t="n">
        <f aca="false">P218*P$9</f>
        <v>0</v>
      </c>
      <c r="Q37" s="133" t="n">
        <f aca="false">Q218*Q$9</f>
        <v>0</v>
      </c>
      <c r="R37" s="133" t="n">
        <f aca="false">R218*R$9</f>
        <v>0</v>
      </c>
      <c r="S37" s="133" t="n">
        <f aca="false">S218*S$9</f>
        <v>0</v>
      </c>
      <c r="T37" s="133" t="n">
        <f aca="false">T218*T$9</f>
        <v>0</v>
      </c>
      <c r="U37" s="133" t="n">
        <f aca="false">U218*U$9</f>
        <v>0</v>
      </c>
      <c r="V37" s="133" t="n">
        <f aca="false">V218*V$9</f>
        <v>0</v>
      </c>
      <c r="W37" s="133" t="n">
        <f aca="false">W218*W$9</f>
        <v>0</v>
      </c>
      <c r="X37" s="133" t="n">
        <f aca="false">X218*X$9</f>
        <v>0</v>
      </c>
      <c r="Y37" s="133" t="n">
        <f aca="false">Y218*Y$9</f>
        <v>0</v>
      </c>
      <c r="Z37" s="133" t="n">
        <f aca="false">Z218*Z$9</f>
        <v>0</v>
      </c>
      <c r="AA37" s="133" t="n">
        <f aca="false">AA218*AA$9</f>
        <v>0</v>
      </c>
      <c r="AB37" s="133" t="n">
        <f aca="false">AB218*AB$9</f>
        <v>0</v>
      </c>
      <c r="AC37" s="133" t="n">
        <f aca="false">AC218*AC$9</f>
        <v>0</v>
      </c>
      <c r="AD37" s="133" t="n">
        <f aca="false">AD218*AD$9</f>
        <v>0</v>
      </c>
      <c r="AE37" s="133" t="n">
        <f aca="false">AE218*AE$9</f>
        <v>0</v>
      </c>
      <c r="AF37" s="133" t="n">
        <f aca="false">AF218*AF$9</f>
        <v>0</v>
      </c>
      <c r="AG37" s="133" t="n">
        <f aca="false">AG218*AG$9</f>
        <v>0</v>
      </c>
      <c r="AH37" s="133" t="n">
        <f aca="false">AH218*AH$9</f>
        <v>0</v>
      </c>
      <c r="AI37" s="133" t="n">
        <f aca="false">AI218*AI$9</f>
        <v>0</v>
      </c>
      <c r="AJ37" s="133" t="n">
        <f aca="false">AJ218*AJ$9</f>
        <v>0</v>
      </c>
      <c r="AK37" s="133" t="n">
        <f aca="false">AK218*AK$9</f>
        <v>0</v>
      </c>
      <c r="AL37" s="133" t="n">
        <f aca="false">AL218*AL$9</f>
        <v>0</v>
      </c>
    </row>
    <row r="38" customFormat="false" ht="15" hidden="false" customHeight="false" outlineLevel="0" collapsed="false">
      <c r="C38" s="0" t="s">
        <v>316</v>
      </c>
      <c r="E38" s="104" t="s">
        <v>72</v>
      </c>
      <c r="G38" s="152" t="n">
        <v>1268562.27647766</v>
      </c>
      <c r="H38" s="0"/>
      <c r="I38" s="133" t="n">
        <f aca="false">$G38*I$9</f>
        <v>1268562.27647766</v>
      </c>
      <c r="J38" s="133" t="n">
        <f aca="false">$G38*J$9</f>
        <v>0</v>
      </c>
      <c r="K38" s="133" t="n">
        <f aca="false">$G38*K$9</f>
        <v>0</v>
      </c>
      <c r="L38" s="133" t="n">
        <f aca="false">$G38*L$9</f>
        <v>0</v>
      </c>
      <c r="M38" s="133" t="n">
        <f aca="false">$G38*M$9</f>
        <v>0</v>
      </c>
      <c r="N38" s="133" t="n">
        <f aca="false">$G38*N$9</f>
        <v>0</v>
      </c>
      <c r="O38" s="133" t="n">
        <f aca="false">$G38*O$9</f>
        <v>0</v>
      </c>
      <c r="P38" s="133" t="n">
        <f aca="false">$G38*P$9</f>
        <v>0</v>
      </c>
      <c r="Q38" s="133" t="n">
        <f aca="false">$G38*Q$9</f>
        <v>0</v>
      </c>
      <c r="R38" s="133" t="n">
        <f aca="false">$G38*R$9</f>
        <v>0</v>
      </c>
      <c r="S38" s="133" t="n">
        <f aca="false">$G38*S$9</f>
        <v>0</v>
      </c>
      <c r="T38" s="133" t="n">
        <f aca="false">$G38*T$9</f>
        <v>0</v>
      </c>
      <c r="U38" s="133" t="n">
        <f aca="false">$G38*U$9</f>
        <v>0</v>
      </c>
      <c r="V38" s="133" t="n">
        <f aca="false">$G38*V$9</f>
        <v>0</v>
      </c>
      <c r="W38" s="133" t="n">
        <f aca="false">$G38*W$9</f>
        <v>0</v>
      </c>
      <c r="X38" s="133" t="n">
        <f aca="false">$G38*X$9</f>
        <v>0</v>
      </c>
      <c r="Y38" s="133" t="n">
        <f aca="false">$G38*Y$9</f>
        <v>0</v>
      </c>
      <c r="Z38" s="133" t="n">
        <f aca="false">$G38*Z$9</f>
        <v>0</v>
      </c>
      <c r="AA38" s="133" t="n">
        <f aca="false">$G38*AA$9</f>
        <v>0</v>
      </c>
      <c r="AB38" s="133" t="n">
        <f aca="false">$G38*AB$9</f>
        <v>0</v>
      </c>
      <c r="AC38" s="133" t="n">
        <f aca="false">$G38*AC$9</f>
        <v>0</v>
      </c>
      <c r="AD38" s="133" t="n">
        <f aca="false">$G38*AD$9</f>
        <v>0</v>
      </c>
      <c r="AE38" s="133" t="n">
        <f aca="false">$G38*AE$9</f>
        <v>0</v>
      </c>
      <c r="AF38" s="133" t="n">
        <f aca="false">$G38*AF$9</f>
        <v>0</v>
      </c>
      <c r="AG38" s="133" t="n">
        <f aca="false">$G38*AG$9</f>
        <v>0</v>
      </c>
      <c r="AH38" s="133" t="n">
        <f aca="false">$G38*AH$9</f>
        <v>0</v>
      </c>
      <c r="AI38" s="133" t="n">
        <f aca="false">$G38*AI$9</f>
        <v>0</v>
      </c>
      <c r="AJ38" s="133" t="n">
        <f aca="false">$G38*AJ$9</f>
        <v>0</v>
      </c>
      <c r="AK38" s="133" t="n">
        <f aca="false">$G38*AK$9</f>
        <v>0</v>
      </c>
      <c r="AL38" s="133" t="n">
        <f aca="false">$G38*AL$9</f>
        <v>0</v>
      </c>
    </row>
    <row r="39" customFormat="false" ht="15" hidden="false" customHeight="false" outlineLevel="0" collapsed="false">
      <c r="C39" s="0" t="s">
        <v>317</v>
      </c>
      <c r="E39" s="104" t="s">
        <v>72</v>
      </c>
      <c r="G39" s="133" t="n">
        <f aca="false">SUM(I39:AL39)</f>
        <v>344238.443157287</v>
      </c>
      <c r="H39" s="0"/>
      <c r="I39" s="133" t="n">
        <f aca="false">I9*I233</f>
        <v>344238.443157287</v>
      </c>
      <c r="J39" s="133" t="n">
        <f aca="false">J9*J233</f>
        <v>0</v>
      </c>
      <c r="K39" s="133" t="n">
        <f aca="false">K9*K233</f>
        <v>0</v>
      </c>
      <c r="L39" s="133" t="n">
        <f aca="false">L9*L233</f>
        <v>0</v>
      </c>
      <c r="M39" s="133" t="n">
        <f aca="false">M9*M233</f>
        <v>0</v>
      </c>
      <c r="N39" s="133" t="n">
        <f aca="false">N9*N233</f>
        <v>0</v>
      </c>
      <c r="O39" s="133" t="n">
        <f aca="false">O9*O233</f>
        <v>0</v>
      </c>
      <c r="P39" s="133" t="n">
        <f aca="false">P9*P233</f>
        <v>0</v>
      </c>
      <c r="Q39" s="133" t="n">
        <f aca="false">Q9*Q233</f>
        <v>0</v>
      </c>
      <c r="R39" s="133" t="n">
        <f aca="false">R9*R233</f>
        <v>0</v>
      </c>
      <c r="S39" s="133" t="n">
        <f aca="false">S9*S233</f>
        <v>0</v>
      </c>
      <c r="T39" s="133" t="n">
        <f aca="false">T9*T233</f>
        <v>0</v>
      </c>
      <c r="U39" s="133" t="n">
        <f aca="false">U9*U233</f>
        <v>0</v>
      </c>
      <c r="V39" s="133" t="n">
        <f aca="false">V9*V233</f>
        <v>0</v>
      </c>
      <c r="W39" s="133" t="n">
        <f aca="false">W9*W233</f>
        <v>0</v>
      </c>
      <c r="X39" s="133" t="n">
        <f aca="false">X9*X233</f>
        <v>0</v>
      </c>
      <c r="Y39" s="133" t="n">
        <f aca="false">Y9*Y233</f>
        <v>0</v>
      </c>
      <c r="Z39" s="133" t="n">
        <f aca="false">Z9*Z233</f>
        <v>0</v>
      </c>
      <c r="AA39" s="133" t="n">
        <f aca="false">AA9*AA233</f>
        <v>0</v>
      </c>
      <c r="AB39" s="133" t="n">
        <f aca="false">AB9*AB233</f>
        <v>0</v>
      </c>
      <c r="AC39" s="133" t="n">
        <f aca="false">AC9*AC233</f>
        <v>0</v>
      </c>
      <c r="AD39" s="133" t="n">
        <f aca="false">AD9*AD233</f>
        <v>0</v>
      </c>
      <c r="AE39" s="133" t="n">
        <f aca="false">AE9*AE233</f>
        <v>0</v>
      </c>
      <c r="AF39" s="133" t="n">
        <f aca="false">AF9*AF233</f>
        <v>0</v>
      </c>
      <c r="AG39" s="133" t="n">
        <f aca="false">AG9*AG233</f>
        <v>0</v>
      </c>
      <c r="AH39" s="133" t="n">
        <f aca="false">AH9*AH233</f>
        <v>0</v>
      </c>
      <c r="AI39" s="133" t="n">
        <f aca="false">AI9*AI233</f>
        <v>0</v>
      </c>
      <c r="AJ39" s="133" t="n">
        <f aca="false">AJ9*AJ233</f>
        <v>0</v>
      </c>
      <c r="AK39" s="133" t="n">
        <f aca="false">AK9*AK233</f>
        <v>0</v>
      </c>
      <c r="AL39" s="133" t="n">
        <f aca="false">AL9*AL233</f>
        <v>0</v>
      </c>
    </row>
    <row r="40" customFormat="false" ht="15" hidden="false" customHeight="false" outlineLevel="0" collapsed="false">
      <c r="C40" s="0" t="s">
        <v>230</v>
      </c>
      <c r="E40" s="104" t="s">
        <v>72</v>
      </c>
      <c r="G40" s="133" t="n">
        <f aca="false">Bank_Fees</f>
        <v>917689.43187538</v>
      </c>
      <c r="H40" s="0"/>
      <c r="I40" s="133" t="n">
        <f aca="false">$G40*I$8</f>
        <v>917689.43187538</v>
      </c>
      <c r="J40" s="133" t="n">
        <f aca="false">$G40*J$8</f>
        <v>0</v>
      </c>
      <c r="K40" s="133" t="n">
        <f aca="false">$G40*K$8</f>
        <v>0</v>
      </c>
      <c r="L40" s="133" t="n">
        <f aca="false">$G40*L$8</f>
        <v>0</v>
      </c>
      <c r="M40" s="133" t="n">
        <f aca="false">$G40*M$8</f>
        <v>0</v>
      </c>
      <c r="N40" s="133" t="n">
        <f aca="false">$G40*N$8</f>
        <v>0</v>
      </c>
      <c r="O40" s="133" t="n">
        <f aca="false">$G40*O$8</f>
        <v>0</v>
      </c>
      <c r="P40" s="133" t="n">
        <f aca="false">$G40*P$8</f>
        <v>0</v>
      </c>
      <c r="Q40" s="133" t="n">
        <f aca="false">$G40*Q$8</f>
        <v>0</v>
      </c>
      <c r="R40" s="133" t="n">
        <f aca="false">$G40*R$8</f>
        <v>0</v>
      </c>
      <c r="S40" s="133" t="n">
        <f aca="false">$G40*S$8</f>
        <v>0</v>
      </c>
      <c r="T40" s="133" t="n">
        <f aca="false">$G40*T$8</f>
        <v>0</v>
      </c>
      <c r="U40" s="133" t="n">
        <f aca="false">$G40*U$8</f>
        <v>0</v>
      </c>
      <c r="V40" s="133" t="n">
        <f aca="false">$G40*V$8</f>
        <v>0</v>
      </c>
      <c r="W40" s="133" t="n">
        <f aca="false">$G40*W$8</f>
        <v>0</v>
      </c>
      <c r="X40" s="133" t="n">
        <f aca="false">$G40*X$8</f>
        <v>0</v>
      </c>
      <c r="Y40" s="133" t="n">
        <f aca="false">$G40*Y$8</f>
        <v>0</v>
      </c>
      <c r="Z40" s="133" t="n">
        <f aca="false">$G40*Z$8</f>
        <v>0</v>
      </c>
      <c r="AA40" s="133" t="n">
        <f aca="false">$G40*AA$8</f>
        <v>0</v>
      </c>
      <c r="AB40" s="133" t="n">
        <f aca="false">$G40*AB$8</f>
        <v>0</v>
      </c>
      <c r="AC40" s="133" t="n">
        <f aca="false">$G40*AC$8</f>
        <v>0</v>
      </c>
      <c r="AD40" s="133" t="n">
        <f aca="false">$G40*AD$8</f>
        <v>0</v>
      </c>
      <c r="AE40" s="133" t="n">
        <f aca="false">$G40*AE$8</f>
        <v>0</v>
      </c>
      <c r="AF40" s="133" t="n">
        <f aca="false">$G40*AF$8</f>
        <v>0</v>
      </c>
      <c r="AG40" s="133" t="n">
        <f aca="false">$G40*AG$8</f>
        <v>0</v>
      </c>
      <c r="AH40" s="133" t="n">
        <f aca="false">$G40*AH$8</f>
        <v>0</v>
      </c>
      <c r="AI40" s="133" t="n">
        <f aca="false">$G40*AI$8</f>
        <v>0</v>
      </c>
      <c r="AJ40" s="133" t="n">
        <f aca="false">$G40*AJ$8</f>
        <v>0</v>
      </c>
      <c r="AK40" s="133" t="n">
        <f aca="false">$G40*AK$8</f>
        <v>0</v>
      </c>
      <c r="AL40" s="133" t="n">
        <f aca="false">$G40*AL$8</f>
        <v>0</v>
      </c>
    </row>
    <row r="41" customFormat="false" ht="15" hidden="false" customHeight="false" outlineLevel="0" collapsed="false">
      <c r="C41" s="0" t="s">
        <v>231</v>
      </c>
      <c r="E41" s="104" t="s">
        <v>72</v>
      </c>
      <c r="G41" s="133" t="n">
        <f aca="false">Land_Payment</f>
        <v>0</v>
      </c>
      <c r="H41" s="0"/>
      <c r="I41" s="133" t="n">
        <f aca="false">$G41*I$8</f>
        <v>0</v>
      </c>
      <c r="J41" s="133" t="n">
        <f aca="false">$G41*J$8</f>
        <v>0</v>
      </c>
      <c r="K41" s="133" t="n">
        <f aca="false">$G41*K$8</f>
        <v>0</v>
      </c>
      <c r="L41" s="133" t="n">
        <f aca="false">$G41*L$8</f>
        <v>0</v>
      </c>
      <c r="M41" s="133" t="n">
        <f aca="false">$G41*M$8</f>
        <v>0</v>
      </c>
      <c r="N41" s="133" t="n">
        <f aca="false">$G41*N$8</f>
        <v>0</v>
      </c>
      <c r="O41" s="133" t="n">
        <f aca="false">$G41*O$8</f>
        <v>0</v>
      </c>
      <c r="P41" s="133" t="n">
        <f aca="false">$G41*P$8</f>
        <v>0</v>
      </c>
      <c r="Q41" s="133" t="n">
        <f aca="false">$G41*Q$8</f>
        <v>0</v>
      </c>
      <c r="R41" s="133" t="n">
        <f aca="false">$G41*R$8</f>
        <v>0</v>
      </c>
      <c r="S41" s="133" t="n">
        <f aca="false">$G41*S$8</f>
        <v>0</v>
      </c>
      <c r="T41" s="133" t="n">
        <f aca="false">$G41*T$8</f>
        <v>0</v>
      </c>
      <c r="U41" s="133" t="n">
        <f aca="false">$G41*U$8</f>
        <v>0</v>
      </c>
      <c r="V41" s="133" t="n">
        <f aca="false">$G41*V$8</f>
        <v>0</v>
      </c>
      <c r="W41" s="133" t="n">
        <f aca="false">$G41*W$8</f>
        <v>0</v>
      </c>
      <c r="X41" s="133" t="n">
        <f aca="false">$G41*X$8</f>
        <v>0</v>
      </c>
      <c r="Y41" s="133" t="n">
        <f aca="false">$G41*Y$8</f>
        <v>0</v>
      </c>
      <c r="Z41" s="133" t="n">
        <f aca="false">$G41*Z$8</f>
        <v>0</v>
      </c>
      <c r="AA41" s="133" t="n">
        <f aca="false">$G41*AA$8</f>
        <v>0</v>
      </c>
      <c r="AB41" s="133" t="n">
        <f aca="false">$G41*AB$8</f>
        <v>0</v>
      </c>
      <c r="AC41" s="133" t="n">
        <f aca="false">$G41*AC$8</f>
        <v>0</v>
      </c>
      <c r="AD41" s="133" t="n">
        <f aca="false">$G41*AD$8</f>
        <v>0</v>
      </c>
      <c r="AE41" s="133" t="n">
        <f aca="false">$G41*AE$8</f>
        <v>0</v>
      </c>
      <c r="AF41" s="133" t="n">
        <f aca="false">$G41*AF$8</f>
        <v>0</v>
      </c>
      <c r="AG41" s="133" t="n">
        <f aca="false">$G41*AG$8</f>
        <v>0</v>
      </c>
      <c r="AH41" s="133" t="n">
        <f aca="false">$G41*AH$8</f>
        <v>0</v>
      </c>
      <c r="AI41" s="133" t="n">
        <f aca="false">$G41*AI$8</f>
        <v>0</v>
      </c>
      <c r="AJ41" s="133" t="n">
        <f aca="false">$G41*AJ$8</f>
        <v>0</v>
      </c>
      <c r="AK41" s="133" t="n">
        <f aca="false">$G41*AK$8</f>
        <v>0</v>
      </c>
      <c r="AL41" s="133" t="n">
        <f aca="false">$G41*AL$8</f>
        <v>0</v>
      </c>
    </row>
    <row r="42" customFormat="false" ht="15" hidden="false" customHeight="false" outlineLevel="0" collapsed="false">
      <c r="C42" s="0" t="s">
        <v>318</v>
      </c>
      <c r="E42" s="104" t="s">
        <v>72</v>
      </c>
      <c r="G42" s="133" t="n">
        <f aca="false">Total_IDC</f>
        <v>709350.521718102</v>
      </c>
      <c r="H42" s="0"/>
      <c r="I42" s="133" t="e">
        <f aca="false">I67</f>
        <v>#VALUE!</v>
      </c>
      <c r="J42" s="133" t="e">
        <f aca="false">J67</f>
        <v>#VALUE!</v>
      </c>
      <c r="K42" s="133" t="e">
        <f aca="false">K67</f>
        <v>#VALUE!</v>
      </c>
      <c r="L42" s="133" t="e">
        <f aca="false">L67</f>
        <v>#VALUE!</v>
      </c>
      <c r="M42" s="133" t="e">
        <f aca="false">M67</f>
        <v>#VALUE!</v>
      </c>
      <c r="N42" s="133" t="e">
        <f aca="false">N67</f>
        <v>#VALUE!</v>
      </c>
      <c r="O42" s="133" t="e">
        <f aca="false">O67</f>
        <v>#VALUE!</v>
      </c>
      <c r="P42" s="133" t="e">
        <f aca="false">P67</f>
        <v>#VALUE!</v>
      </c>
      <c r="Q42" s="133" t="e">
        <f aca="false">Q67</f>
        <v>#VALUE!</v>
      </c>
      <c r="R42" s="133" t="e">
        <f aca="false">R67</f>
        <v>#VALUE!</v>
      </c>
      <c r="S42" s="133" t="e">
        <f aca="false">S67</f>
        <v>#VALUE!</v>
      </c>
      <c r="T42" s="133" t="e">
        <f aca="false">T67</f>
        <v>#VALUE!</v>
      </c>
      <c r="U42" s="133" t="e">
        <f aca="false">U67</f>
        <v>#VALUE!</v>
      </c>
      <c r="V42" s="133" t="e">
        <f aca="false">V67</f>
        <v>#VALUE!</v>
      </c>
      <c r="W42" s="133" t="e">
        <f aca="false">W67</f>
        <v>#VALUE!</v>
      </c>
      <c r="X42" s="133" t="e">
        <f aca="false">X67</f>
        <v>#VALUE!</v>
      </c>
      <c r="Y42" s="133" t="e">
        <f aca="false">Y67</f>
        <v>#VALUE!</v>
      </c>
      <c r="Z42" s="133" t="e">
        <f aca="false">Z67</f>
        <v>#VALUE!</v>
      </c>
      <c r="AA42" s="133" t="e">
        <f aca="false">AA67</f>
        <v>#VALUE!</v>
      </c>
      <c r="AB42" s="133" t="e">
        <f aca="false">AB67</f>
        <v>#VALUE!</v>
      </c>
      <c r="AC42" s="133" t="e">
        <f aca="false">AC67</f>
        <v>#VALUE!</v>
      </c>
      <c r="AD42" s="133" t="e">
        <f aca="false">AD67</f>
        <v>#VALUE!</v>
      </c>
      <c r="AE42" s="133" t="e">
        <f aca="false">AE67</f>
        <v>#VALUE!</v>
      </c>
      <c r="AF42" s="133" t="e">
        <f aca="false">AF67</f>
        <v>#VALUE!</v>
      </c>
      <c r="AG42" s="133" t="e">
        <f aca="false">AG67</f>
        <v>#VALUE!</v>
      </c>
      <c r="AH42" s="133" t="e">
        <f aca="false">AH67</f>
        <v>#VALUE!</v>
      </c>
      <c r="AI42" s="133" t="e">
        <f aca="false">AI67</f>
        <v>#VALUE!</v>
      </c>
      <c r="AJ42" s="133" t="e">
        <f aca="false">AJ67</f>
        <v>#VALUE!</v>
      </c>
      <c r="AK42" s="133" t="e">
        <f aca="false">AK67</f>
        <v>#VALUE!</v>
      </c>
      <c r="AL42" s="133" t="e">
        <f aca="false">AL67</f>
        <v>#VALUE!</v>
      </c>
    </row>
    <row r="43" customFormat="false" ht="15" hidden="false" customHeight="false" outlineLevel="0" collapsed="false">
      <c r="C43" s="0" t="s">
        <v>233</v>
      </c>
      <c r="E43" s="104" t="s">
        <v>72</v>
      </c>
      <c r="G43" s="133" t="n">
        <f aca="false">SUM(I43:AL43)</f>
        <v>0</v>
      </c>
      <c r="H43" s="0"/>
      <c r="I43" s="133" t="e">
        <f aca="false">I68</f>
        <v>#VALUE!</v>
      </c>
      <c r="J43" s="133" t="e">
        <f aca="false">J68</f>
        <v>#VALUE!</v>
      </c>
      <c r="K43" s="133" t="e">
        <f aca="false">K68</f>
        <v>#VALUE!</v>
      </c>
      <c r="L43" s="133" t="e">
        <f aca="false">L68</f>
        <v>#VALUE!</v>
      </c>
      <c r="M43" s="133" t="e">
        <f aca="false">M68</f>
        <v>#VALUE!</v>
      </c>
      <c r="N43" s="133" t="e">
        <f aca="false">N68</f>
        <v>#VALUE!</v>
      </c>
      <c r="O43" s="133" t="e">
        <f aca="false">O68</f>
        <v>#VALUE!</v>
      </c>
      <c r="P43" s="133" t="e">
        <f aca="false">P68</f>
        <v>#VALUE!</v>
      </c>
      <c r="Q43" s="133" t="e">
        <f aca="false">Q68</f>
        <v>#VALUE!</v>
      </c>
      <c r="R43" s="133" t="e">
        <f aca="false">R68</f>
        <v>#VALUE!</v>
      </c>
      <c r="S43" s="133" t="e">
        <f aca="false">S68</f>
        <v>#VALUE!</v>
      </c>
      <c r="T43" s="133" t="e">
        <f aca="false">T68</f>
        <v>#VALUE!</v>
      </c>
      <c r="U43" s="133" t="e">
        <f aca="false">U68</f>
        <v>#VALUE!</v>
      </c>
      <c r="V43" s="133" t="e">
        <f aca="false">V68</f>
        <v>#VALUE!</v>
      </c>
      <c r="W43" s="133" t="e">
        <f aca="false">W68</f>
        <v>#VALUE!</v>
      </c>
      <c r="X43" s="133" t="e">
        <f aca="false">X68</f>
        <v>#VALUE!</v>
      </c>
      <c r="Y43" s="133" t="e">
        <f aca="false">Y68</f>
        <v>#VALUE!</v>
      </c>
      <c r="Z43" s="133" t="e">
        <f aca="false">Z68</f>
        <v>#VALUE!</v>
      </c>
      <c r="AA43" s="133" t="e">
        <f aca="false">AA68</f>
        <v>#VALUE!</v>
      </c>
      <c r="AB43" s="133" t="e">
        <f aca="false">AB68</f>
        <v>#VALUE!</v>
      </c>
      <c r="AC43" s="133" t="e">
        <f aca="false">AC68</f>
        <v>#VALUE!</v>
      </c>
      <c r="AD43" s="133" t="e">
        <f aca="false">AD68</f>
        <v>#VALUE!</v>
      </c>
      <c r="AE43" s="133" t="e">
        <f aca="false">AE68</f>
        <v>#VALUE!</v>
      </c>
      <c r="AF43" s="133" t="e">
        <f aca="false">AF68</f>
        <v>#VALUE!</v>
      </c>
      <c r="AG43" s="133" t="e">
        <f aca="false">AG68</f>
        <v>#VALUE!</v>
      </c>
      <c r="AH43" s="133" t="e">
        <f aca="false">AH68</f>
        <v>#VALUE!</v>
      </c>
      <c r="AI43" s="133" t="e">
        <f aca="false">AI68</f>
        <v>#VALUE!</v>
      </c>
      <c r="AJ43" s="133" t="e">
        <f aca="false">AJ68</f>
        <v>#VALUE!</v>
      </c>
      <c r="AK43" s="133" t="e">
        <f aca="false">AK68</f>
        <v>#VALUE!</v>
      </c>
      <c r="AL43" s="133" t="e">
        <f aca="false">AL68</f>
        <v>#VALUE!</v>
      </c>
    </row>
    <row r="44" customFormat="false" ht="15" hidden="false" customHeight="false" outlineLevel="0" collapsed="false">
      <c r="C44" s="0" t="s">
        <v>319</v>
      </c>
      <c r="E44" s="104" t="s">
        <v>72</v>
      </c>
      <c r="G44" s="133" t="e">
        <f aca="false">Other_Devt_Costs+(dev_fee_bank_paid?="no")*Developer_Fee</f>
        <v>#VALUE!</v>
      </c>
      <c r="H44" s="0"/>
      <c r="I44" s="133" t="e">
        <f aca="false">$G$44*I9</f>
        <v>#VALUE!</v>
      </c>
      <c r="J44" s="133" t="e">
        <f aca="false">$G$44*J9</f>
        <v>#VALUE!</v>
      </c>
      <c r="K44" s="133" t="e">
        <f aca="false">$G$44*K9</f>
        <v>#VALUE!</v>
      </c>
      <c r="L44" s="133" t="e">
        <f aca="false">$G$44*L9</f>
        <v>#VALUE!</v>
      </c>
      <c r="M44" s="133" t="e">
        <f aca="false">$G$44*M9</f>
        <v>#VALUE!</v>
      </c>
      <c r="N44" s="133" t="e">
        <f aca="false">$G$44*N9</f>
        <v>#VALUE!</v>
      </c>
      <c r="O44" s="133" t="e">
        <f aca="false">$G$44*O9</f>
        <v>#VALUE!</v>
      </c>
      <c r="P44" s="133" t="e">
        <f aca="false">$G$44*P9</f>
        <v>#VALUE!</v>
      </c>
      <c r="Q44" s="133" t="e">
        <f aca="false">$G$44*Q9</f>
        <v>#VALUE!</v>
      </c>
      <c r="R44" s="133" t="e">
        <f aca="false">$G$44*R9</f>
        <v>#VALUE!</v>
      </c>
      <c r="S44" s="133" t="e">
        <f aca="false">$G$44*S9</f>
        <v>#VALUE!</v>
      </c>
      <c r="T44" s="133" t="e">
        <f aca="false">$G$44*T9</f>
        <v>#VALUE!</v>
      </c>
      <c r="U44" s="133" t="e">
        <f aca="false">$G$44*U9</f>
        <v>#VALUE!</v>
      </c>
      <c r="V44" s="133" t="e">
        <f aca="false">$G$44*V9</f>
        <v>#VALUE!</v>
      </c>
      <c r="W44" s="133" t="e">
        <f aca="false">$G$44*W9</f>
        <v>#VALUE!</v>
      </c>
      <c r="X44" s="133" t="e">
        <f aca="false">$G$44*X9</f>
        <v>#VALUE!</v>
      </c>
      <c r="Y44" s="133" t="e">
        <f aca="false">$G$44*Y9</f>
        <v>#VALUE!</v>
      </c>
      <c r="Z44" s="133" t="e">
        <f aca="false">$G$44*Z9</f>
        <v>#VALUE!</v>
      </c>
      <c r="AA44" s="133" t="e">
        <f aca="false">$G$44*AA9</f>
        <v>#VALUE!</v>
      </c>
      <c r="AB44" s="133" t="e">
        <f aca="false">$G$44*AB9</f>
        <v>#VALUE!</v>
      </c>
      <c r="AC44" s="133" t="e">
        <f aca="false">$G$44*AC9</f>
        <v>#VALUE!</v>
      </c>
      <c r="AD44" s="133" t="e">
        <f aca="false">$G$44*AD9</f>
        <v>#VALUE!</v>
      </c>
      <c r="AE44" s="133" t="e">
        <f aca="false">$G$44*AE9</f>
        <v>#VALUE!</v>
      </c>
      <c r="AF44" s="133" t="e">
        <f aca="false">$G$44*AF9</f>
        <v>#VALUE!</v>
      </c>
      <c r="AG44" s="133" t="e">
        <f aca="false">$G$44*AG9</f>
        <v>#VALUE!</v>
      </c>
      <c r="AH44" s="133" t="e">
        <f aca="false">$G$44*AH9</f>
        <v>#VALUE!</v>
      </c>
      <c r="AI44" s="133" t="e">
        <f aca="false">$G$44*AI9</f>
        <v>#VALUE!</v>
      </c>
      <c r="AJ44" s="133" t="e">
        <f aca="false">$G$44*AJ9</f>
        <v>#VALUE!</v>
      </c>
      <c r="AK44" s="133" t="e">
        <f aca="false">$G$44*AK9</f>
        <v>#VALUE!</v>
      </c>
      <c r="AL44" s="133" t="e">
        <f aca="false">$G$44*AL9</f>
        <v>#VALUE!</v>
      </c>
    </row>
    <row r="45" customFormat="false" ht="15" hidden="false" customHeight="false" outlineLevel="0" collapsed="false">
      <c r="C45" s="117" t="s">
        <v>320</v>
      </c>
      <c r="D45" s="117"/>
      <c r="E45" s="118" t="s">
        <v>72</v>
      </c>
      <c r="F45" s="117"/>
      <c r="G45" s="123" t="n">
        <f aca="false">SUM(G35:G44)</f>
        <v>28005185.8932661</v>
      </c>
      <c r="H45" s="0"/>
      <c r="I45" s="153" t="e">
        <f aca="false">SUM(I35:I44)</f>
        <v>#VALUE!</v>
      </c>
      <c r="J45" s="123" t="e">
        <f aca="false">SUM(J35:J44)</f>
        <v>#VALUE!</v>
      </c>
      <c r="K45" s="123" t="e">
        <f aca="false">SUM(K35:K44)</f>
        <v>#VALUE!</v>
      </c>
      <c r="L45" s="123" t="e">
        <f aca="false">SUM(L35:L44)</f>
        <v>#VALUE!</v>
      </c>
      <c r="M45" s="123" t="e">
        <f aca="false">SUM(M35:M44)</f>
        <v>#VALUE!</v>
      </c>
      <c r="N45" s="123" t="e">
        <f aca="false">SUM(N35:N44)</f>
        <v>#VALUE!</v>
      </c>
      <c r="O45" s="123" t="e">
        <f aca="false">SUM(O35:O44)</f>
        <v>#VALUE!</v>
      </c>
      <c r="P45" s="123" t="e">
        <f aca="false">SUM(P35:P44)</f>
        <v>#VALUE!</v>
      </c>
      <c r="Q45" s="123" t="e">
        <f aca="false">SUM(Q35:Q44)</f>
        <v>#VALUE!</v>
      </c>
      <c r="R45" s="123" t="e">
        <f aca="false">SUM(R35:R44)</f>
        <v>#VALUE!</v>
      </c>
      <c r="S45" s="123" t="e">
        <f aca="false">SUM(S35:S44)</f>
        <v>#VALUE!</v>
      </c>
      <c r="T45" s="123" t="e">
        <f aca="false">SUM(T35:T44)</f>
        <v>#VALUE!</v>
      </c>
      <c r="U45" s="123" t="e">
        <f aca="false">SUM(U35:U44)</f>
        <v>#VALUE!</v>
      </c>
      <c r="V45" s="123" t="e">
        <f aca="false">SUM(V35:V44)</f>
        <v>#VALUE!</v>
      </c>
      <c r="W45" s="123" t="e">
        <f aca="false">SUM(W35:W44)</f>
        <v>#VALUE!</v>
      </c>
      <c r="X45" s="123" t="e">
        <f aca="false">SUM(X35:X44)</f>
        <v>#VALUE!</v>
      </c>
      <c r="Y45" s="123" t="e">
        <f aca="false">SUM(Y35:Y44)</f>
        <v>#VALUE!</v>
      </c>
      <c r="Z45" s="123" t="e">
        <f aca="false">SUM(Z35:Z44)</f>
        <v>#VALUE!</v>
      </c>
      <c r="AA45" s="123" t="e">
        <f aca="false">SUM(AA35:AA44)</f>
        <v>#VALUE!</v>
      </c>
      <c r="AB45" s="123" t="e">
        <f aca="false">SUM(AB35:AB44)</f>
        <v>#VALUE!</v>
      </c>
      <c r="AC45" s="123" t="e">
        <f aca="false">SUM(AC35:AC44)</f>
        <v>#VALUE!</v>
      </c>
      <c r="AD45" s="123" t="e">
        <f aca="false">SUM(AD35:AD44)</f>
        <v>#VALUE!</v>
      </c>
      <c r="AE45" s="123" t="e">
        <f aca="false">SUM(AE35:AE44)</f>
        <v>#VALUE!</v>
      </c>
      <c r="AF45" s="123" t="e">
        <f aca="false">SUM(AF35:AF44)</f>
        <v>#VALUE!</v>
      </c>
      <c r="AG45" s="123" t="e">
        <f aca="false">SUM(AG35:AG44)</f>
        <v>#VALUE!</v>
      </c>
      <c r="AH45" s="123" t="e">
        <f aca="false">SUM(AH35:AH44)</f>
        <v>#VALUE!</v>
      </c>
      <c r="AI45" s="123" t="e">
        <f aca="false">SUM(AI35:AI44)</f>
        <v>#VALUE!</v>
      </c>
      <c r="AJ45" s="123" t="e">
        <f aca="false">SUM(AJ35:AJ44)</f>
        <v>#VALUE!</v>
      </c>
      <c r="AK45" s="123" t="e">
        <f aca="false">SUM(AK35:AK44)</f>
        <v>#VALUE!</v>
      </c>
      <c r="AL45" s="123" t="e">
        <f aca="false">SUM(AL35:AL44)</f>
        <v>#VALUE!</v>
      </c>
    </row>
    <row r="46" customFormat="false" ht="15" hidden="false" customHeight="false" outlineLevel="0" collapsed="false">
      <c r="C46" s="154" t="s">
        <v>321</v>
      </c>
      <c r="D46" s="154"/>
      <c r="E46" s="155" t="s">
        <v>72</v>
      </c>
      <c r="F46" s="154"/>
      <c r="G46" s="131" t="e">
        <f aca="false">SUM(I46:AL46)</f>
        <v>#VALUE!</v>
      </c>
      <c r="H46" s="0"/>
      <c r="I46" s="131" t="e">
        <f aca="false">I45+I49</f>
        <v>#VALUE!</v>
      </c>
      <c r="J46" s="131" t="e">
        <f aca="false">J45+J49</f>
        <v>#VALUE!</v>
      </c>
      <c r="K46" s="131" t="e">
        <f aca="false">K45+K49</f>
        <v>#VALUE!</v>
      </c>
      <c r="L46" s="131" t="e">
        <f aca="false">L45+L49</f>
        <v>#VALUE!</v>
      </c>
      <c r="M46" s="131" t="e">
        <f aca="false">M45+M49</f>
        <v>#VALUE!</v>
      </c>
      <c r="N46" s="131" t="e">
        <f aca="false">N45+N49</f>
        <v>#VALUE!</v>
      </c>
      <c r="O46" s="131" t="e">
        <f aca="false">O45+O49</f>
        <v>#VALUE!</v>
      </c>
      <c r="P46" s="131" t="e">
        <f aca="false">P45+P49</f>
        <v>#VALUE!</v>
      </c>
      <c r="Q46" s="131" t="e">
        <f aca="false">Q45+Q49</f>
        <v>#VALUE!</v>
      </c>
      <c r="R46" s="131" t="e">
        <f aca="false">R45+R49</f>
        <v>#VALUE!</v>
      </c>
      <c r="S46" s="131" t="e">
        <f aca="false">S45+S49</f>
        <v>#VALUE!</v>
      </c>
      <c r="T46" s="131" t="e">
        <f aca="false">T45+T49</f>
        <v>#VALUE!</v>
      </c>
      <c r="U46" s="131" t="e">
        <f aca="false">U45+U49</f>
        <v>#VALUE!</v>
      </c>
      <c r="V46" s="131" t="e">
        <f aca="false">V45+V49</f>
        <v>#VALUE!</v>
      </c>
      <c r="W46" s="131" t="e">
        <f aca="false">W45+W49</f>
        <v>#VALUE!</v>
      </c>
      <c r="X46" s="131" t="e">
        <f aca="false">X45+X49</f>
        <v>#VALUE!</v>
      </c>
      <c r="Y46" s="131" t="e">
        <f aca="false">Y45+Y49</f>
        <v>#VALUE!</v>
      </c>
      <c r="Z46" s="131" t="e">
        <f aca="false">Z45+Z49</f>
        <v>#VALUE!</v>
      </c>
      <c r="AA46" s="131" t="e">
        <f aca="false">AA45+AA49</f>
        <v>#VALUE!</v>
      </c>
      <c r="AB46" s="131" t="e">
        <f aca="false">AB45+AB49</f>
        <v>#VALUE!</v>
      </c>
      <c r="AC46" s="131" t="e">
        <f aca="false">AC45+AC49</f>
        <v>#VALUE!</v>
      </c>
      <c r="AD46" s="131" t="e">
        <f aca="false">AD45+AD49</f>
        <v>#VALUE!</v>
      </c>
      <c r="AE46" s="131" t="e">
        <f aca="false">AE45+AE49</f>
        <v>#VALUE!</v>
      </c>
      <c r="AF46" s="131" t="e">
        <f aca="false">AF45+AF49</f>
        <v>#VALUE!</v>
      </c>
      <c r="AG46" s="131" t="e">
        <f aca="false">AG45+AG49</f>
        <v>#VALUE!</v>
      </c>
      <c r="AH46" s="131" t="e">
        <f aca="false">AH45+AH49</f>
        <v>#VALUE!</v>
      </c>
      <c r="AI46" s="131" t="e">
        <f aca="false">AI45+AI49</f>
        <v>#VALUE!</v>
      </c>
      <c r="AJ46" s="131" t="e">
        <f aca="false">AJ45+AJ49</f>
        <v>#VALUE!</v>
      </c>
      <c r="AK46" s="131" t="e">
        <f aca="false">AK45+AK49</f>
        <v>#VALUE!</v>
      </c>
      <c r="AL46" s="131" t="e">
        <f aca="false">AL45+AL49</f>
        <v>#VALUE!</v>
      </c>
    </row>
    <row r="47" customFormat="false" ht="15" hidden="false" customHeight="false" outlineLevel="0" collapsed="false">
      <c r="C47" s="154"/>
      <c r="D47" s="154"/>
      <c r="E47" s="155"/>
      <c r="F47" s="154"/>
      <c r="G47" s="131"/>
      <c r="H47" s="0"/>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row>
    <row r="48" customFormat="false" ht="15" hidden="false" customHeight="false" outlineLevel="0" collapsed="false">
      <c r="C48" s="154" t="s">
        <v>322</v>
      </c>
      <c r="D48" s="154"/>
      <c r="E48" s="155" t="s">
        <v>72</v>
      </c>
      <c r="F48" s="154"/>
      <c r="G48" s="131" t="e">
        <f aca="false">Minority_Equity_value_excl_bridge-G49</f>
        <v>#NAME?</v>
      </c>
      <c r="H48" s="145" t="n">
        <f aca="false">IFERROR(G48/$G22*H22,0)</f>
        <v>0</v>
      </c>
      <c r="I48" s="131" t="e">
        <f aca="false">$G48*I$6*I$34</f>
        <v>#NAME?</v>
      </c>
      <c r="J48" s="131" t="e">
        <f aca="false">$G48*J$6*J$34</f>
        <v>#NAME?</v>
      </c>
      <c r="K48" s="131" t="e">
        <f aca="false">$G48*K$6*K$34</f>
        <v>#NAME?</v>
      </c>
      <c r="L48" s="131" t="e">
        <f aca="false">$G48*L$6*L$34</f>
        <v>#NAME?</v>
      </c>
      <c r="M48" s="131" t="e">
        <f aca="false">$G48*M$6*M$34</f>
        <v>#NAME?</v>
      </c>
      <c r="N48" s="131" t="e">
        <f aca="false">$G48*N$6*N$34</f>
        <v>#NAME?</v>
      </c>
      <c r="O48" s="131" t="e">
        <f aca="false">$G48*O$6*O$34</f>
        <v>#NAME?</v>
      </c>
      <c r="P48" s="131" t="e">
        <f aca="false">$G48*P$6*P$34</f>
        <v>#NAME?</v>
      </c>
      <c r="Q48" s="131" t="e">
        <f aca="false">$G48*Q$6*Q$34</f>
        <v>#NAME?</v>
      </c>
      <c r="R48" s="131" t="e">
        <f aca="false">$G48*R$6*R$34</f>
        <v>#NAME?</v>
      </c>
      <c r="S48" s="131" t="e">
        <f aca="false">$G48*S$6*S$34</f>
        <v>#NAME?</v>
      </c>
      <c r="T48" s="131" t="e">
        <f aca="false">$G48*T$6*T$34</f>
        <v>#NAME?</v>
      </c>
      <c r="U48" s="131" t="e">
        <f aca="false">$G48*U$6*U$34</f>
        <v>#NAME?</v>
      </c>
      <c r="V48" s="131" t="e">
        <f aca="false">$G48*V$6*V$34</f>
        <v>#NAME?</v>
      </c>
      <c r="W48" s="131" t="e">
        <f aca="false">$G48*W$6*W$34</f>
        <v>#NAME?</v>
      </c>
      <c r="X48" s="131" t="e">
        <f aca="false">$G48*X$6*X$34</f>
        <v>#NAME?</v>
      </c>
      <c r="Y48" s="131" t="e">
        <f aca="false">$G48*Y$6*Y$34</f>
        <v>#NAME?</v>
      </c>
      <c r="Z48" s="131" t="e">
        <f aca="false">$G48*Z$6*Z$34</f>
        <v>#NAME?</v>
      </c>
      <c r="AA48" s="131" t="e">
        <f aca="false">$G48*AA$6*AA$34</f>
        <v>#NAME?</v>
      </c>
      <c r="AB48" s="131" t="e">
        <f aca="false">$G48*AB$6*AB$34</f>
        <v>#NAME?</v>
      </c>
      <c r="AC48" s="131" t="e">
        <f aca="false">$G48*AC$6*AC$34</f>
        <v>#NAME?</v>
      </c>
      <c r="AD48" s="131" t="e">
        <f aca="false">$G48*AD$6*AD$34</f>
        <v>#NAME?</v>
      </c>
      <c r="AE48" s="131" t="e">
        <f aca="false">$G48*AE$6*AE$34</f>
        <v>#NAME?</v>
      </c>
      <c r="AF48" s="131" t="e">
        <f aca="false">$G48*AF$6*AF$34</f>
        <v>#NAME?</v>
      </c>
      <c r="AG48" s="131" t="e">
        <f aca="false">$G48*AG$6*AG$34</f>
        <v>#NAME?</v>
      </c>
      <c r="AH48" s="131" t="e">
        <f aca="false">$G48*AH$6*AH$34</f>
        <v>#NAME?</v>
      </c>
      <c r="AI48" s="131" t="e">
        <f aca="false">$G48*AI$6*AI$34</f>
        <v>#NAME?</v>
      </c>
      <c r="AJ48" s="131" t="e">
        <f aca="false">$G48*AJ$6*AJ$34</f>
        <v>#NAME?</v>
      </c>
      <c r="AK48" s="131" t="e">
        <f aca="false">$G48*AK$6*AK$34</f>
        <v>#NAME?</v>
      </c>
      <c r="AL48" s="131" t="e">
        <f aca="false">$G48*AL$6*AL$34</f>
        <v>#NAME?</v>
      </c>
    </row>
    <row r="49" customFormat="false" ht="15" hidden="false" customHeight="false" outlineLevel="0" collapsed="false">
      <c r="C49" s="154" t="s">
        <v>309</v>
      </c>
      <c r="D49" s="154"/>
      <c r="E49" s="104" t="s">
        <v>72</v>
      </c>
      <c r="F49" s="154"/>
      <c r="G49" s="131" t="e">
        <f aca="false">Land_value</f>
        <v>#NAME?</v>
      </c>
      <c r="H49" s="145" t="n">
        <f aca="false">IFERROR(G49/$G23*H23,0)</f>
        <v>0</v>
      </c>
      <c r="I49" s="131" t="e">
        <f aca="false">$G49*I$6*I$34</f>
        <v>#NAME?</v>
      </c>
      <c r="J49" s="131" t="e">
        <f aca="false">$G49*J$6*J$34</f>
        <v>#NAME?</v>
      </c>
      <c r="K49" s="131" t="e">
        <f aca="false">$G49*K$6*K$34</f>
        <v>#NAME?</v>
      </c>
      <c r="L49" s="131" t="e">
        <f aca="false">$G49*L$6*L$34</f>
        <v>#NAME?</v>
      </c>
      <c r="M49" s="131" t="e">
        <f aca="false">$G49*M$6*M$34</f>
        <v>#NAME?</v>
      </c>
      <c r="N49" s="131" t="e">
        <f aca="false">$G49*N$6*N$34</f>
        <v>#NAME?</v>
      </c>
      <c r="O49" s="131" t="e">
        <f aca="false">$G49*O$6*O$34</f>
        <v>#NAME?</v>
      </c>
      <c r="P49" s="131" t="e">
        <f aca="false">$G49*P$6*P$34</f>
        <v>#NAME?</v>
      </c>
      <c r="Q49" s="131" t="e">
        <f aca="false">$G49*Q$6*Q$34</f>
        <v>#NAME?</v>
      </c>
      <c r="R49" s="131" t="e">
        <f aca="false">$G49*R$6*R$34</f>
        <v>#NAME?</v>
      </c>
      <c r="S49" s="131" t="e">
        <f aca="false">$G49*S$6*S$34</f>
        <v>#NAME?</v>
      </c>
      <c r="T49" s="131" t="e">
        <f aca="false">$G49*T$6*T$34</f>
        <v>#NAME?</v>
      </c>
      <c r="U49" s="131" t="e">
        <f aca="false">$G49*U$6*U$34</f>
        <v>#NAME?</v>
      </c>
      <c r="V49" s="131" t="e">
        <f aca="false">$G49*V$6*V$34</f>
        <v>#NAME?</v>
      </c>
      <c r="W49" s="131" t="e">
        <f aca="false">$G49*W$6*W$34</f>
        <v>#NAME?</v>
      </c>
      <c r="X49" s="131" t="e">
        <f aca="false">$G49*X$6*X$34</f>
        <v>#NAME?</v>
      </c>
      <c r="Y49" s="131" t="e">
        <f aca="false">$G49*Y$6*Y$34</f>
        <v>#NAME?</v>
      </c>
      <c r="Z49" s="131" t="e">
        <f aca="false">$G49*Z$6*Z$34</f>
        <v>#NAME?</v>
      </c>
      <c r="AA49" s="131" t="e">
        <f aca="false">$G49*AA$6*AA$34</f>
        <v>#NAME?</v>
      </c>
      <c r="AB49" s="131" t="e">
        <f aca="false">$G49*AB$6*AB$34</f>
        <v>#NAME?</v>
      </c>
      <c r="AC49" s="131" t="e">
        <f aca="false">$G49*AC$6*AC$34</f>
        <v>#NAME?</v>
      </c>
      <c r="AD49" s="131" t="e">
        <f aca="false">$G49*AD$6*AD$34</f>
        <v>#NAME?</v>
      </c>
      <c r="AE49" s="131" t="e">
        <f aca="false">$G49*AE$6*AE$34</f>
        <v>#NAME?</v>
      </c>
      <c r="AF49" s="131" t="e">
        <f aca="false">$G49*AF$6*AF$34</f>
        <v>#NAME?</v>
      </c>
      <c r="AG49" s="131" t="e">
        <f aca="false">$G49*AG$6*AG$34</f>
        <v>#NAME?</v>
      </c>
      <c r="AH49" s="131" t="e">
        <f aca="false">$G49*AH$6*AH$34</f>
        <v>#NAME?</v>
      </c>
      <c r="AI49" s="131" t="e">
        <f aca="false">$G49*AI$6*AI$34</f>
        <v>#NAME?</v>
      </c>
      <c r="AJ49" s="131" t="e">
        <f aca="false">$G49*AJ$6*AJ$34</f>
        <v>#NAME?</v>
      </c>
      <c r="AK49" s="131" t="e">
        <f aca="false">$G49*AK$6*AK$34</f>
        <v>#NAME?</v>
      </c>
      <c r="AL49" s="131" t="e">
        <f aca="false">$G49*AL$6*AL$34</f>
        <v>#NAME?</v>
      </c>
    </row>
    <row r="50" customFormat="false" ht="15" hidden="false" customHeight="false" outlineLevel="0" collapsed="false">
      <c r="C50" s="154" t="s">
        <v>308</v>
      </c>
      <c r="D50" s="154"/>
      <c r="E50" s="104" t="s">
        <v>72</v>
      </c>
      <c r="F50" s="154"/>
      <c r="G50" s="131" t="e">
        <f aca="false">Bridge_Equity_value</f>
        <v>#NAME?</v>
      </c>
      <c r="H50" s="145" t="n">
        <f aca="false">IFERROR(G50/$G24*H24,0)</f>
        <v>0</v>
      </c>
      <c r="I50" s="131" t="e">
        <f aca="false">$G50*I$6*I$34</f>
        <v>#NAME?</v>
      </c>
      <c r="J50" s="131" t="e">
        <f aca="false">$G50*J$6*J$34</f>
        <v>#NAME?</v>
      </c>
      <c r="K50" s="131" t="e">
        <f aca="false">$G50*K$6*K$34</f>
        <v>#NAME?</v>
      </c>
      <c r="L50" s="131" t="e">
        <f aca="false">$G50*L$6*L$34</f>
        <v>#NAME?</v>
      </c>
      <c r="M50" s="131" t="e">
        <f aca="false">$G50*M$6*M$34</f>
        <v>#NAME?</v>
      </c>
      <c r="N50" s="131" t="e">
        <f aca="false">$G50*N$6*N$34</f>
        <v>#NAME?</v>
      </c>
      <c r="O50" s="131" t="e">
        <f aca="false">$G50*O$6*O$34</f>
        <v>#NAME?</v>
      </c>
      <c r="P50" s="131" t="e">
        <f aca="false">$G50*P$6*P$34</f>
        <v>#NAME?</v>
      </c>
      <c r="Q50" s="131" t="e">
        <f aca="false">$G50*Q$6*Q$34</f>
        <v>#NAME?</v>
      </c>
      <c r="R50" s="131" t="e">
        <f aca="false">$G50*R$6*R$34</f>
        <v>#NAME?</v>
      </c>
      <c r="S50" s="131" t="e">
        <f aca="false">$G50*S$6*S$34</f>
        <v>#NAME?</v>
      </c>
      <c r="T50" s="131" t="e">
        <f aca="false">$G50*T$6*T$34</f>
        <v>#NAME?</v>
      </c>
      <c r="U50" s="131" t="e">
        <f aca="false">$G50*U$6*U$34</f>
        <v>#NAME?</v>
      </c>
      <c r="V50" s="131" t="e">
        <f aca="false">$G50*V$6*V$34</f>
        <v>#NAME?</v>
      </c>
      <c r="W50" s="131" t="e">
        <f aca="false">$G50*W$6*W$34</f>
        <v>#NAME?</v>
      </c>
      <c r="X50" s="131" t="e">
        <f aca="false">$G50*X$6*X$34</f>
        <v>#NAME?</v>
      </c>
      <c r="Y50" s="131" t="e">
        <f aca="false">$G50*Y$6*Y$34</f>
        <v>#NAME?</v>
      </c>
      <c r="Z50" s="131" t="e">
        <f aca="false">$G50*Z$6*Z$34</f>
        <v>#NAME?</v>
      </c>
      <c r="AA50" s="131" t="e">
        <f aca="false">$G50*AA$6*AA$34</f>
        <v>#NAME?</v>
      </c>
      <c r="AB50" s="131" t="e">
        <f aca="false">$G50*AB$6*AB$34</f>
        <v>#NAME?</v>
      </c>
      <c r="AC50" s="131" t="e">
        <f aca="false">$G50*AC$6*AC$34</f>
        <v>#NAME?</v>
      </c>
      <c r="AD50" s="131" t="e">
        <f aca="false">$G50*AD$6*AD$34</f>
        <v>#NAME?</v>
      </c>
      <c r="AE50" s="131" t="e">
        <f aca="false">$G50*AE$6*AE$34</f>
        <v>#NAME?</v>
      </c>
      <c r="AF50" s="131" t="e">
        <f aca="false">$G50*AF$6*AF$34</f>
        <v>#NAME?</v>
      </c>
      <c r="AG50" s="131" t="e">
        <f aca="false">$G50*AG$6*AG$34</f>
        <v>#NAME?</v>
      </c>
      <c r="AH50" s="131" t="e">
        <f aca="false">$G50*AH$6*AH$34</f>
        <v>#NAME?</v>
      </c>
      <c r="AI50" s="131" t="e">
        <f aca="false">$G50*AI$6*AI$34</f>
        <v>#NAME?</v>
      </c>
      <c r="AJ50" s="131" t="e">
        <f aca="false">$G50*AJ$6*AJ$34</f>
        <v>#NAME?</v>
      </c>
      <c r="AK50" s="131" t="e">
        <f aca="false">$G50*AK$6*AK$34</f>
        <v>#NAME?</v>
      </c>
      <c r="AL50" s="131" t="e">
        <f aca="false">$G50*AL$6*AL$34</f>
        <v>#NAME?</v>
      </c>
    </row>
    <row r="51" customFormat="false" ht="15" hidden="false" customHeight="false" outlineLevel="0" collapsed="false">
      <c r="C51" s="117" t="s">
        <v>323</v>
      </c>
      <c r="D51" s="117"/>
      <c r="E51" s="118" t="s">
        <v>72</v>
      </c>
      <c r="F51" s="117"/>
      <c r="G51" s="123" t="e">
        <f aca="false">Minority_Equity_value_excl_bridge+Bridge_Equity_value</f>
        <v>#NAME?</v>
      </c>
      <c r="H51" s="156" t="n">
        <f aca="false">SUM(H48:H50)</f>
        <v>0</v>
      </c>
      <c r="I51" s="153" t="e">
        <f aca="false">SUM(I48:I50)</f>
        <v>#NAME?</v>
      </c>
      <c r="J51" s="123" t="e">
        <f aca="false">SUM(J48:J50)</f>
        <v>#NAME?</v>
      </c>
      <c r="K51" s="123" t="e">
        <f aca="false">SUM(K48:K50)</f>
        <v>#NAME?</v>
      </c>
      <c r="L51" s="123" t="e">
        <f aca="false">SUM(L48:L50)</f>
        <v>#NAME?</v>
      </c>
      <c r="M51" s="123" t="e">
        <f aca="false">SUM(M48:M50)</f>
        <v>#NAME?</v>
      </c>
      <c r="N51" s="123" t="e">
        <f aca="false">SUM(N48:N50)</f>
        <v>#NAME?</v>
      </c>
      <c r="O51" s="123" t="e">
        <f aca="false">SUM(O48:O50)</f>
        <v>#NAME?</v>
      </c>
      <c r="P51" s="123" t="e">
        <f aca="false">SUM(P48:P50)</f>
        <v>#NAME?</v>
      </c>
      <c r="Q51" s="123" t="e">
        <f aca="false">SUM(Q48:Q50)</f>
        <v>#NAME?</v>
      </c>
      <c r="R51" s="123" t="e">
        <f aca="false">SUM(R48:R50)</f>
        <v>#NAME?</v>
      </c>
      <c r="S51" s="123" t="e">
        <f aca="false">SUM(S48:S50)</f>
        <v>#NAME?</v>
      </c>
      <c r="T51" s="123" t="e">
        <f aca="false">SUM(T48:T50)</f>
        <v>#NAME?</v>
      </c>
      <c r="U51" s="123" t="e">
        <f aca="false">SUM(U48:U50)</f>
        <v>#NAME?</v>
      </c>
      <c r="V51" s="123" t="e">
        <f aca="false">SUM(V48:V50)</f>
        <v>#NAME?</v>
      </c>
      <c r="W51" s="123" t="e">
        <f aca="false">SUM(W48:W50)</f>
        <v>#NAME?</v>
      </c>
      <c r="X51" s="123" t="e">
        <f aca="false">SUM(X48:X50)</f>
        <v>#NAME?</v>
      </c>
      <c r="Y51" s="123" t="e">
        <f aca="false">SUM(Y48:Y50)</f>
        <v>#NAME?</v>
      </c>
      <c r="Z51" s="123" t="e">
        <f aca="false">SUM(Z48:Z50)</f>
        <v>#NAME?</v>
      </c>
      <c r="AA51" s="123" t="e">
        <f aca="false">SUM(AA48:AA50)</f>
        <v>#NAME?</v>
      </c>
      <c r="AB51" s="123" t="e">
        <f aca="false">SUM(AB48:AB50)</f>
        <v>#NAME?</v>
      </c>
      <c r="AC51" s="123" t="e">
        <f aca="false">SUM(AC48:AC50)</f>
        <v>#NAME?</v>
      </c>
      <c r="AD51" s="123" t="e">
        <f aca="false">SUM(AD48:AD50)</f>
        <v>#NAME?</v>
      </c>
      <c r="AE51" s="123" t="e">
        <f aca="false">SUM(AE48:AE50)</f>
        <v>#NAME?</v>
      </c>
      <c r="AF51" s="123" t="e">
        <f aca="false">SUM(AF48:AF50)</f>
        <v>#NAME?</v>
      </c>
      <c r="AG51" s="123" t="e">
        <f aca="false">SUM(AG48:AG50)</f>
        <v>#NAME?</v>
      </c>
      <c r="AH51" s="123" t="e">
        <f aca="false">SUM(AH48:AH50)</f>
        <v>#NAME?</v>
      </c>
      <c r="AI51" s="123" t="e">
        <f aca="false">SUM(AI48:AI50)</f>
        <v>#NAME?</v>
      </c>
      <c r="AJ51" s="123" t="e">
        <f aca="false">SUM(AJ48:AJ50)</f>
        <v>#NAME?</v>
      </c>
      <c r="AK51" s="123" t="e">
        <f aca="false">SUM(AK48:AK50)</f>
        <v>#NAME?</v>
      </c>
      <c r="AL51" s="123" t="e">
        <f aca="false">SUM(AL48:AL50)</f>
        <v>#NAME?</v>
      </c>
    </row>
    <row r="52" customFormat="false" ht="15" hidden="false" customHeight="false" outlineLevel="0" collapsed="false">
      <c r="C52" s="154"/>
      <c r="D52" s="154"/>
      <c r="E52" s="155"/>
      <c r="F52" s="154"/>
      <c r="G52" s="131"/>
      <c r="H52" s="0"/>
      <c r="I52" s="149"/>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row>
    <row r="53" customFormat="false" ht="15" hidden="false" customHeight="false" outlineLevel="0" collapsed="false">
      <c r="C53" s="154" t="s">
        <v>324</v>
      </c>
      <c r="D53" s="154"/>
      <c r="E53" s="104" t="s">
        <v>72</v>
      </c>
      <c r="F53" s="154"/>
      <c r="G53" s="131" t="n">
        <f aca="false">G35+G36+G40+G42</f>
        <v>25883100.9015628</v>
      </c>
      <c r="H53" s="0"/>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row>
    <row r="54" customFormat="false" ht="15" hidden="false" customHeight="false" outlineLevel="0" collapsed="false">
      <c r="E54" s="0"/>
      <c r="G54" s="133"/>
      <c r="H54" s="0"/>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row>
    <row r="55" s="30" customFormat="true" ht="16.9" hidden="false" customHeight="true" outlineLevel="0" collapsed="false">
      <c r="A55" s="30" t="n">
        <f aca="false">COUNT($A$6:A54)+1</f>
        <v>2</v>
      </c>
      <c r="C55" s="30" t="s">
        <v>325</v>
      </c>
      <c r="E55" s="31"/>
      <c r="H55" s="112"/>
    </row>
    <row r="56" customFormat="false" ht="15" hidden="false" customHeight="false" outlineLevel="0" collapsed="false">
      <c r="E56" s="0"/>
      <c r="H56" s="0"/>
    </row>
    <row r="57" customFormat="false" ht="15" hidden="false" customHeight="false" outlineLevel="0" collapsed="false">
      <c r="B57" s="2" t="e">
        <f aca="false">(MAX($A$7:B56)+0.1)</f>
        <v>#VALUE!</v>
      </c>
      <c r="C57" s="2" t="s">
        <v>326</v>
      </c>
      <c r="E57" s="0"/>
      <c r="H57" s="0"/>
    </row>
    <row r="59" customFormat="false" ht="15" hidden="false" customHeight="false" outlineLevel="0" collapsed="false">
      <c r="C59" s="0" t="s">
        <v>327</v>
      </c>
      <c r="E59" s="104" t="s">
        <v>72</v>
      </c>
      <c r="H59" s="0"/>
      <c r="I59" s="122" t="n">
        <f aca="false">H69</f>
        <v>0</v>
      </c>
      <c r="J59" s="122" t="n">
        <f aca="false">I69</f>
        <v>19625364.4342008</v>
      </c>
      <c r="K59" s="122" t="e">
        <f aca="false">J69</f>
        <v>#VALUE!</v>
      </c>
      <c r="L59" s="122" t="e">
        <f aca="false">K69</f>
        <v>#VALUE!</v>
      </c>
      <c r="M59" s="122" t="e">
        <f aca="false">L69</f>
        <v>#VALUE!</v>
      </c>
      <c r="N59" s="122" t="e">
        <f aca="false">M69</f>
        <v>#VALUE!</v>
      </c>
      <c r="O59" s="122" t="e">
        <f aca="false">N69</f>
        <v>#VALUE!</v>
      </c>
      <c r="P59" s="122" t="e">
        <f aca="false">O69</f>
        <v>#VALUE!</v>
      </c>
      <c r="Q59" s="122" t="e">
        <f aca="false">P69</f>
        <v>#VALUE!</v>
      </c>
      <c r="R59" s="122" t="e">
        <f aca="false">Q69</f>
        <v>#VALUE!</v>
      </c>
      <c r="S59" s="122" t="e">
        <f aca="false">R69</f>
        <v>#VALUE!</v>
      </c>
      <c r="T59" s="122" t="e">
        <f aca="false">S69</f>
        <v>#VALUE!</v>
      </c>
      <c r="U59" s="122" t="e">
        <f aca="false">T69</f>
        <v>#VALUE!</v>
      </c>
      <c r="V59" s="122" t="e">
        <f aca="false">U69</f>
        <v>#VALUE!</v>
      </c>
      <c r="W59" s="122" t="e">
        <f aca="false">V69</f>
        <v>#VALUE!</v>
      </c>
      <c r="X59" s="122" t="e">
        <f aca="false">W69</f>
        <v>#VALUE!</v>
      </c>
      <c r="Y59" s="122" t="e">
        <f aca="false">X69</f>
        <v>#VALUE!</v>
      </c>
      <c r="Z59" s="122" t="e">
        <f aca="false">Y69</f>
        <v>#VALUE!</v>
      </c>
      <c r="AA59" s="122" t="e">
        <f aca="false">Z69</f>
        <v>#VALUE!</v>
      </c>
      <c r="AB59" s="122" t="e">
        <f aca="false">AA69</f>
        <v>#VALUE!</v>
      </c>
      <c r="AC59" s="122" t="e">
        <f aca="false">AB69</f>
        <v>#VALUE!</v>
      </c>
      <c r="AD59" s="122" t="e">
        <f aca="false">AC69</f>
        <v>#VALUE!</v>
      </c>
      <c r="AE59" s="122" t="e">
        <f aca="false">AD69</f>
        <v>#VALUE!</v>
      </c>
      <c r="AF59" s="122" t="e">
        <f aca="false">AE69</f>
        <v>#VALUE!</v>
      </c>
      <c r="AG59" s="122" t="e">
        <f aca="false">AF69</f>
        <v>#VALUE!</v>
      </c>
      <c r="AH59" s="122" t="e">
        <f aca="false">AG69</f>
        <v>#VALUE!</v>
      </c>
      <c r="AI59" s="122" t="e">
        <f aca="false">AH69</f>
        <v>#VALUE!</v>
      </c>
      <c r="AJ59" s="122" t="e">
        <f aca="false">AI69</f>
        <v>#VALUE!</v>
      </c>
      <c r="AK59" s="122" t="e">
        <f aca="false">AJ69</f>
        <v>#VALUE!</v>
      </c>
      <c r="AL59" s="122" t="e">
        <f aca="false">AK69</f>
        <v>#VALUE!</v>
      </c>
    </row>
    <row r="60" customFormat="false" ht="15" hidden="false" customHeight="false" outlineLevel="0" collapsed="false">
      <c r="C60" s="0" t="s">
        <v>328</v>
      </c>
      <c r="E60" s="104" t="s">
        <v>72</v>
      </c>
      <c r="G60" s="133" t="e">
        <f aca="false">SUM(I60:AL60)</f>
        <v>#VALUE!</v>
      </c>
      <c r="H60" s="0"/>
      <c r="I60" s="122" t="e">
        <f aca="false">Leverage*I35</f>
        <v>#VALUE!</v>
      </c>
      <c r="J60" s="122" t="e">
        <f aca="false">Leverage*J35</f>
        <v>#VALUE!</v>
      </c>
      <c r="K60" s="122" t="e">
        <f aca="false">Leverage*K35</f>
        <v>#VALUE!</v>
      </c>
      <c r="L60" s="122" t="e">
        <f aca="false">Leverage*L35</f>
        <v>#VALUE!</v>
      </c>
      <c r="M60" s="122" t="e">
        <f aca="false">Leverage*M35</f>
        <v>#VALUE!</v>
      </c>
      <c r="N60" s="122" t="e">
        <f aca="false">Leverage*N35</f>
        <v>#VALUE!</v>
      </c>
      <c r="O60" s="122" t="e">
        <f aca="false">Leverage*O35</f>
        <v>#VALUE!</v>
      </c>
      <c r="P60" s="122" t="e">
        <f aca="false">Leverage*P35</f>
        <v>#VALUE!</v>
      </c>
      <c r="Q60" s="122" t="e">
        <f aca="false">Leverage*Q35</f>
        <v>#VALUE!</v>
      </c>
      <c r="R60" s="122" t="e">
        <f aca="false">Leverage*R35</f>
        <v>#VALUE!</v>
      </c>
      <c r="S60" s="122" t="e">
        <f aca="false">Leverage*S35</f>
        <v>#VALUE!</v>
      </c>
      <c r="T60" s="122" t="e">
        <f aca="false">Leverage*T35</f>
        <v>#VALUE!</v>
      </c>
      <c r="U60" s="122" t="e">
        <f aca="false">Leverage*U35</f>
        <v>#VALUE!</v>
      </c>
      <c r="V60" s="122" t="e">
        <f aca="false">Leverage*V35</f>
        <v>#VALUE!</v>
      </c>
      <c r="W60" s="122" t="e">
        <f aca="false">Leverage*W35</f>
        <v>#VALUE!</v>
      </c>
      <c r="X60" s="122" t="e">
        <f aca="false">Leverage*X35</f>
        <v>#VALUE!</v>
      </c>
      <c r="Y60" s="122" t="e">
        <f aca="false">Leverage*Y35</f>
        <v>#VALUE!</v>
      </c>
      <c r="Z60" s="122" t="e">
        <f aca="false">Leverage*Z35</f>
        <v>#VALUE!</v>
      </c>
      <c r="AA60" s="122" t="e">
        <f aca="false">Leverage*AA35</f>
        <v>#VALUE!</v>
      </c>
      <c r="AB60" s="122" t="e">
        <f aca="false">Leverage*AB35</f>
        <v>#VALUE!</v>
      </c>
      <c r="AC60" s="122" t="e">
        <f aca="false">Leverage*AC35</f>
        <v>#VALUE!</v>
      </c>
      <c r="AD60" s="122" t="e">
        <f aca="false">Leverage*AD35</f>
        <v>#VALUE!</v>
      </c>
      <c r="AE60" s="122" t="e">
        <f aca="false">Leverage*AE35</f>
        <v>#VALUE!</v>
      </c>
      <c r="AF60" s="122" t="e">
        <f aca="false">Leverage*AF35</f>
        <v>#VALUE!</v>
      </c>
      <c r="AG60" s="122" t="e">
        <f aca="false">Leverage*AG35</f>
        <v>#VALUE!</v>
      </c>
      <c r="AH60" s="122" t="e">
        <f aca="false">Leverage*AH35</f>
        <v>#VALUE!</v>
      </c>
      <c r="AI60" s="122" t="e">
        <f aca="false">Leverage*AI35</f>
        <v>#VALUE!</v>
      </c>
      <c r="AJ60" s="122" t="e">
        <f aca="false">Leverage*AJ35</f>
        <v>#VALUE!</v>
      </c>
      <c r="AK60" s="122" t="e">
        <f aca="false">Leverage*AK35</f>
        <v>#VALUE!</v>
      </c>
      <c r="AL60" s="122" t="e">
        <f aca="false">Leverage*AL35</f>
        <v>#VALUE!</v>
      </c>
    </row>
    <row r="61" customFormat="false" ht="15" hidden="false" customHeight="false" outlineLevel="0" collapsed="false">
      <c r="C61" s="0" t="s">
        <v>329</v>
      </c>
      <c r="E61" s="104" t="s">
        <v>72</v>
      </c>
      <c r="G61" s="133" t="n">
        <f aca="false">SUM(I61:AL61)</f>
        <v>31920.2369427394</v>
      </c>
      <c r="H61" s="0"/>
      <c r="I61" s="122" t="n">
        <f aca="false">Leverage*I36</f>
        <v>31920.2369427394</v>
      </c>
      <c r="J61" s="122" t="n">
        <f aca="false">Leverage*J36</f>
        <v>0</v>
      </c>
      <c r="K61" s="122" t="n">
        <f aca="false">Leverage*K36</f>
        <v>0</v>
      </c>
      <c r="L61" s="122" t="n">
        <f aca="false">Leverage*L36</f>
        <v>0</v>
      </c>
      <c r="M61" s="122" t="n">
        <f aca="false">Leverage*M36</f>
        <v>0</v>
      </c>
      <c r="N61" s="122" t="n">
        <f aca="false">Leverage*N36</f>
        <v>0</v>
      </c>
      <c r="O61" s="122" t="n">
        <f aca="false">Leverage*O36</f>
        <v>0</v>
      </c>
      <c r="P61" s="122" t="n">
        <f aca="false">Leverage*P36</f>
        <v>0</v>
      </c>
      <c r="Q61" s="122" t="n">
        <f aca="false">Leverage*Q36</f>
        <v>0</v>
      </c>
      <c r="R61" s="122" t="n">
        <f aca="false">Leverage*R36</f>
        <v>0</v>
      </c>
      <c r="S61" s="122" t="n">
        <f aca="false">Leverage*S36</f>
        <v>0</v>
      </c>
      <c r="T61" s="122" t="n">
        <f aca="false">Leverage*T36</f>
        <v>0</v>
      </c>
      <c r="U61" s="122" t="n">
        <f aca="false">Leverage*U36</f>
        <v>0</v>
      </c>
      <c r="V61" s="122" t="n">
        <f aca="false">Leverage*V36</f>
        <v>0</v>
      </c>
      <c r="W61" s="122" t="n">
        <f aca="false">Leverage*W36</f>
        <v>0</v>
      </c>
      <c r="X61" s="122" t="n">
        <f aca="false">Leverage*X36</f>
        <v>0</v>
      </c>
      <c r="Y61" s="122" t="n">
        <f aca="false">Leverage*Y36</f>
        <v>0</v>
      </c>
      <c r="Z61" s="122" t="n">
        <f aca="false">Leverage*Z36</f>
        <v>0</v>
      </c>
      <c r="AA61" s="122" t="n">
        <f aca="false">Leverage*AA36</f>
        <v>0</v>
      </c>
      <c r="AB61" s="122" t="n">
        <f aca="false">Leverage*AB36</f>
        <v>0</v>
      </c>
      <c r="AC61" s="122" t="n">
        <f aca="false">Leverage*AC36</f>
        <v>0</v>
      </c>
      <c r="AD61" s="122" t="n">
        <f aca="false">Leverage*AD36</f>
        <v>0</v>
      </c>
      <c r="AE61" s="122" t="n">
        <f aca="false">Leverage*AE36</f>
        <v>0</v>
      </c>
      <c r="AF61" s="122" t="n">
        <f aca="false">Leverage*AF36</f>
        <v>0</v>
      </c>
      <c r="AG61" s="122" t="n">
        <f aca="false">Leverage*AG36</f>
        <v>0</v>
      </c>
      <c r="AH61" s="122" t="n">
        <f aca="false">Leverage*AH36</f>
        <v>0</v>
      </c>
      <c r="AI61" s="122" t="n">
        <f aca="false">Leverage*AI36</f>
        <v>0</v>
      </c>
      <c r="AJ61" s="122" t="n">
        <f aca="false">Leverage*AJ36</f>
        <v>0</v>
      </c>
      <c r="AK61" s="122" t="n">
        <f aca="false">Leverage*AK36</f>
        <v>0</v>
      </c>
      <c r="AL61" s="122" t="n">
        <f aca="false">Leverage*AL36</f>
        <v>0</v>
      </c>
    </row>
    <row r="62" customFormat="false" ht="15" hidden="false" customHeight="false" outlineLevel="0" collapsed="false">
      <c r="C62" s="0" t="s">
        <v>330</v>
      </c>
      <c r="E62" s="104" t="s">
        <v>72</v>
      </c>
      <c r="G62" s="133" t="n">
        <f aca="false">SUM(I62:AL62)</f>
        <v>352934.000543342</v>
      </c>
      <c r="H62" s="0"/>
      <c r="I62" s="122" t="n">
        <f aca="false">Leverage*I37</f>
        <v>352934.000543342</v>
      </c>
      <c r="J62" s="122" t="n">
        <f aca="false">Leverage*J37</f>
        <v>0</v>
      </c>
      <c r="K62" s="122" t="n">
        <f aca="false">Leverage*K37</f>
        <v>0</v>
      </c>
      <c r="L62" s="122" t="n">
        <f aca="false">Leverage*L37</f>
        <v>0</v>
      </c>
      <c r="M62" s="122" t="n">
        <f aca="false">Leverage*M37</f>
        <v>0</v>
      </c>
      <c r="N62" s="122" t="n">
        <f aca="false">Leverage*N37</f>
        <v>0</v>
      </c>
      <c r="O62" s="122" t="n">
        <f aca="false">Leverage*O37</f>
        <v>0</v>
      </c>
      <c r="P62" s="122" t="n">
        <f aca="false">Leverage*P37</f>
        <v>0</v>
      </c>
      <c r="Q62" s="122" t="n">
        <f aca="false">Leverage*Q37</f>
        <v>0</v>
      </c>
      <c r="R62" s="122" t="n">
        <f aca="false">Leverage*R37</f>
        <v>0</v>
      </c>
      <c r="S62" s="122" t="n">
        <f aca="false">Leverage*S37</f>
        <v>0</v>
      </c>
      <c r="T62" s="122" t="n">
        <f aca="false">Leverage*T37</f>
        <v>0</v>
      </c>
      <c r="U62" s="122" t="n">
        <f aca="false">Leverage*U37</f>
        <v>0</v>
      </c>
      <c r="V62" s="122" t="n">
        <f aca="false">Leverage*V37</f>
        <v>0</v>
      </c>
      <c r="W62" s="122" t="n">
        <f aca="false">Leverage*W37</f>
        <v>0</v>
      </c>
      <c r="X62" s="122" t="n">
        <f aca="false">Leverage*X37</f>
        <v>0</v>
      </c>
      <c r="Y62" s="122" t="n">
        <f aca="false">Leverage*Y37</f>
        <v>0</v>
      </c>
      <c r="Z62" s="122" t="n">
        <f aca="false">Leverage*Z37</f>
        <v>0</v>
      </c>
      <c r="AA62" s="122" t="n">
        <f aca="false">Leverage*AA37</f>
        <v>0</v>
      </c>
      <c r="AB62" s="122" t="n">
        <f aca="false">Leverage*AB37</f>
        <v>0</v>
      </c>
      <c r="AC62" s="122" t="n">
        <f aca="false">Leverage*AC37</f>
        <v>0</v>
      </c>
      <c r="AD62" s="122" t="n">
        <f aca="false">Leverage*AD37</f>
        <v>0</v>
      </c>
      <c r="AE62" s="122" t="n">
        <f aca="false">Leverage*AE37</f>
        <v>0</v>
      </c>
      <c r="AF62" s="122" t="n">
        <f aca="false">Leverage*AF37</f>
        <v>0</v>
      </c>
      <c r="AG62" s="122" t="n">
        <f aca="false">Leverage*AG37</f>
        <v>0</v>
      </c>
      <c r="AH62" s="122" t="n">
        <f aca="false">Leverage*AH37</f>
        <v>0</v>
      </c>
      <c r="AI62" s="122" t="n">
        <f aca="false">Leverage*AI37</f>
        <v>0</v>
      </c>
      <c r="AJ62" s="122" t="n">
        <f aca="false">Leverage*AJ37</f>
        <v>0</v>
      </c>
      <c r="AK62" s="122" t="n">
        <f aca="false">Leverage*AK37</f>
        <v>0</v>
      </c>
      <c r="AL62" s="122" t="n">
        <f aca="false">Leverage*AL37</f>
        <v>0</v>
      </c>
    </row>
    <row r="63" customFormat="false" ht="15" hidden="false" customHeight="false" outlineLevel="0" collapsed="false">
      <c r="C63" s="0" t="s">
        <v>331</v>
      </c>
      <c r="E63" s="104" t="s">
        <v>72</v>
      </c>
      <c r="G63" s="133" t="n">
        <f aca="false">SUM(I63:AL63)</f>
        <v>879113.657599017</v>
      </c>
      <c r="H63" s="0"/>
      <c r="I63" s="122" t="n">
        <f aca="false">Leverage*I38</f>
        <v>879113.657599017</v>
      </c>
      <c r="J63" s="122" t="n">
        <f aca="false">Leverage*J38</f>
        <v>0</v>
      </c>
      <c r="K63" s="122" t="n">
        <f aca="false">Leverage*K38</f>
        <v>0</v>
      </c>
      <c r="L63" s="122" t="n">
        <f aca="false">Leverage*L38</f>
        <v>0</v>
      </c>
      <c r="M63" s="122" t="n">
        <f aca="false">Leverage*M38</f>
        <v>0</v>
      </c>
      <c r="N63" s="122" t="n">
        <f aca="false">Leverage*N38</f>
        <v>0</v>
      </c>
      <c r="O63" s="122" t="n">
        <f aca="false">Leverage*O38</f>
        <v>0</v>
      </c>
      <c r="P63" s="122" t="n">
        <f aca="false">Leverage*P38</f>
        <v>0</v>
      </c>
      <c r="Q63" s="122" t="n">
        <f aca="false">Leverage*Q38</f>
        <v>0</v>
      </c>
      <c r="R63" s="122" t="n">
        <f aca="false">Leverage*R38</f>
        <v>0</v>
      </c>
      <c r="S63" s="122" t="n">
        <f aca="false">Leverage*S38</f>
        <v>0</v>
      </c>
      <c r="T63" s="122" t="n">
        <f aca="false">Leverage*T38</f>
        <v>0</v>
      </c>
      <c r="U63" s="122" t="n">
        <f aca="false">Leverage*U38</f>
        <v>0</v>
      </c>
      <c r="V63" s="122" t="n">
        <f aca="false">Leverage*V38</f>
        <v>0</v>
      </c>
      <c r="W63" s="122" t="n">
        <f aca="false">Leverage*W38</f>
        <v>0</v>
      </c>
      <c r="X63" s="122" t="n">
        <f aca="false">Leverage*X38</f>
        <v>0</v>
      </c>
      <c r="Y63" s="122" t="n">
        <f aca="false">Leverage*Y38</f>
        <v>0</v>
      </c>
      <c r="Z63" s="122" t="n">
        <f aca="false">Leverage*Z38</f>
        <v>0</v>
      </c>
      <c r="AA63" s="122" t="n">
        <f aca="false">Leverage*AA38</f>
        <v>0</v>
      </c>
      <c r="AB63" s="122" t="n">
        <f aca="false">Leverage*AB38</f>
        <v>0</v>
      </c>
      <c r="AC63" s="122" t="n">
        <f aca="false">Leverage*AC38</f>
        <v>0</v>
      </c>
      <c r="AD63" s="122" t="n">
        <f aca="false">Leverage*AD38</f>
        <v>0</v>
      </c>
      <c r="AE63" s="122" t="n">
        <f aca="false">Leverage*AE38</f>
        <v>0</v>
      </c>
      <c r="AF63" s="122" t="n">
        <f aca="false">Leverage*AF38</f>
        <v>0</v>
      </c>
      <c r="AG63" s="122" t="n">
        <f aca="false">Leverage*AG38</f>
        <v>0</v>
      </c>
      <c r="AH63" s="122" t="n">
        <f aca="false">Leverage*AH38</f>
        <v>0</v>
      </c>
      <c r="AI63" s="122" t="n">
        <f aca="false">Leverage*AI38</f>
        <v>0</v>
      </c>
      <c r="AJ63" s="122" t="n">
        <f aca="false">Leverage*AJ38</f>
        <v>0</v>
      </c>
      <c r="AK63" s="122" t="n">
        <f aca="false">Leverage*AK38</f>
        <v>0</v>
      </c>
      <c r="AL63" s="122" t="n">
        <f aca="false">Leverage*AL38</f>
        <v>0</v>
      </c>
    </row>
    <row r="64" customFormat="false" ht="15" hidden="false" customHeight="false" outlineLevel="0" collapsed="false">
      <c r="C64" s="0" t="s">
        <v>332</v>
      </c>
      <c r="E64" s="104" t="s">
        <v>72</v>
      </c>
      <c r="G64" s="133" t="n">
        <f aca="false">SUM(I64:AL64)</f>
        <v>238557.241108</v>
      </c>
      <c r="H64" s="0"/>
      <c r="I64" s="122" t="n">
        <f aca="false">Leverage*I39</f>
        <v>238557.241108</v>
      </c>
      <c r="J64" s="122" t="n">
        <f aca="false">Leverage*J39</f>
        <v>0</v>
      </c>
      <c r="K64" s="122" t="n">
        <f aca="false">Leverage*K39</f>
        <v>0</v>
      </c>
      <c r="L64" s="122" t="n">
        <f aca="false">Leverage*L39</f>
        <v>0</v>
      </c>
      <c r="M64" s="122" t="n">
        <f aca="false">Leverage*M39</f>
        <v>0</v>
      </c>
      <c r="N64" s="122" t="n">
        <f aca="false">Leverage*N39</f>
        <v>0</v>
      </c>
      <c r="O64" s="122" t="n">
        <f aca="false">Leverage*O39</f>
        <v>0</v>
      </c>
      <c r="P64" s="122" t="n">
        <f aca="false">Leverage*P39</f>
        <v>0</v>
      </c>
      <c r="Q64" s="122" t="n">
        <f aca="false">Leverage*Q39</f>
        <v>0</v>
      </c>
      <c r="R64" s="122" t="n">
        <f aca="false">Leverage*R39</f>
        <v>0</v>
      </c>
      <c r="S64" s="122" t="n">
        <f aca="false">Leverage*S39</f>
        <v>0</v>
      </c>
      <c r="T64" s="122" t="n">
        <f aca="false">Leverage*T39</f>
        <v>0</v>
      </c>
      <c r="U64" s="122" t="n">
        <f aca="false">Leverage*U39</f>
        <v>0</v>
      </c>
      <c r="V64" s="122" t="n">
        <f aca="false">Leverage*V39</f>
        <v>0</v>
      </c>
      <c r="W64" s="122" t="n">
        <f aca="false">Leverage*W39</f>
        <v>0</v>
      </c>
      <c r="X64" s="122" t="n">
        <f aca="false">Leverage*X39</f>
        <v>0</v>
      </c>
      <c r="Y64" s="122" t="n">
        <f aca="false">Leverage*Y39</f>
        <v>0</v>
      </c>
      <c r="Z64" s="122" t="n">
        <f aca="false">Leverage*Z39</f>
        <v>0</v>
      </c>
      <c r="AA64" s="122" t="n">
        <f aca="false">Leverage*AA39</f>
        <v>0</v>
      </c>
      <c r="AB64" s="122" t="n">
        <f aca="false">Leverage*AB39</f>
        <v>0</v>
      </c>
      <c r="AC64" s="122" t="n">
        <f aca="false">Leverage*AC39</f>
        <v>0</v>
      </c>
      <c r="AD64" s="122" t="n">
        <f aca="false">Leverage*AD39</f>
        <v>0</v>
      </c>
      <c r="AE64" s="122" t="n">
        <f aca="false">Leverage*AE39</f>
        <v>0</v>
      </c>
      <c r="AF64" s="122" t="n">
        <f aca="false">Leverage*AF39</f>
        <v>0</v>
      </c>
      <c r="AG64" s="122" t="n">
        <f aca="false">Leverage*AG39</f>
        <v>0</v>
      </c>
      <c r="AH64" s="122" t="n">
        <f aca="false">Leverage*AH39</f>
        <v>0</v>
      </c>
      <c r="AI64" s="122" t="n">
        <f aca="false">Leverage*AI39</f>
        <v>0</v>
      </c>
      <c r="AJ64" s="122" t="n">
        <f aca="false">Leverage*AJ39</f>
        <v>0</v>
      </c>
      <c r="AK64" s="122" t="n">
        <f aca="false">Leverage*AK39</f>
        <v>0</v>
      </c>
      <c r="AL64" s="122" t="n">
        <f aca="false">Leverage*AL39</f>
        <v>0</v>
      </c>
    </row>
    <row r="65" customFormat="false" ht="15" hidden="false" customHeight="false" outlineLevel="0" collapsed="false">
      <c r="C65" s="0" t="s">
        <v>333</v>
      </c>
      <c r="E65" s="104" t="s">
        <v>72</v>
      </c>
      <c r="G65" s="133" t="n">
        <f aca="false">SUM(I65:AL65)</f>
        <v>635958.776289638</v>
      </c>
      <c r="H65" s="0"/>
      <c r="I65" s="122" t="n">
        <f aca="false">Leverage*I40</f>
        <v>635958.776289638</v>
      </c>
      <c r="J65" s="122" t="n">
        <f aca="false">Leverage*J40</f>
        <v>0</v>
      </c>
      <c r="K65" s="122" t="n">
        <f aca="false">Leverage*K40</f>
        <v>0</v>
      </c>
      <c r="L65" s="122" t="n">
        <f aca="false">Leverage*L40</f>
        <v>0</v>
      </c>
      <c r="M65" s="122" t="n">
        <f aca="false">Leverage*M40</f>
        <v>0</v>
      </c>
      <c r="N65" s="122" t="n">
        <f aca="false">Leverage*N40</f>
        <v>0</v>
      </c>
      <c r="O65" s="122" t="n">
        <f aca="false">Leverage*O40</f>
        <v>0</v>
      </c>
      <c r="P65" s="122" t="n">
        <f aca="false">Leverage*P40</f>
        <v>0</v>
      </c>
      <c r="Q65" s="122" t="n">
        <f aca="false">Leverage*Q40</f>
        <v>0</v>
      </c>
      <c r="R65" s="122" t="n">
        <f aca="false">Leverage*R40</f>
        <v>0</v>
      </c>
      <c r="S65" s="122" t="n">
        <f aca="false">Leverage*S40</f>
        <v>0</v>
      </c>
      <c r="T65" s="122" t="n">
        <f aca="false">Leverage*T40</f>
        <v>0</v>
      </c>
      <c r="U65" s="122" t="n">
        <f aca="false">Leverage*U40</f>
        <v>0</v>
      </c>
      <c r="V65" s="122" t="n">
        <f aca="false">Leverage*V40</f>
        <v>0</v>
      </c>
      <c r="W65" s="122" t="n">
        <f aca="false">Leverage*W40</f>
        <v>0</v>
      </c>
      <c r="X65" s="122" t="n">
        <f aca="false">Leverage*X40</f>
        <v>0</v>
      </c>
      <c r="Y65" s="122" t="n">
        <f aca="false">Leverage*Y40</f>
        <v>0</v>
      </c>
      <c r="Z65" s="122" t="n">
        <f aca="false">Leverage*Z40</f>
        <v>0</v>
      </c>
      <c r="AA65" s="122" t="n">
        <f aca="false">Leverage*AA40</f>
        <v>0</v>
      </c>
      <c r="AB65" s="122" t="n">
        <f aca="false">Leverage*AB40</f>
        <v>0</v>
      </c>
      <c r="AC65" s="122" t="n">
        <f aca="false">Leverage*AC40</f>
        <v>0</v>
      </c>
      <c r="AD65" s="122" t="n">
        <f aca="false">Leverage*AD40</f>
        <v>0</v>
      </c>
      <c r="AE65" s="122" t="n">
        <f aca="false">Leverage*AE40</f>
        <v>0</v>
      </c>
      <c r="AF65" s="122" t="n">
        <f aca="false">Leverage*AF40</f>
        <v>0</v>
      </c>
      <c r="AG65" s="122" t="n">
        <f aca="false">Leverage*AG40</f>
        <v>0</v>
      </c>
      <c r="AH65" s="122" t="n">
        <f aca="false">Leverage*AH40</f>
        <v>0</v>
      </c>
      <c r="AI65" s="122" t="n">
        <f aca="false">Leverage*AI40</f>
        <v>0</v>
      </c>
      <c r="AJ65" s="122" t="n">
        <f aca="false">Leverage*AJ40</f>
        <v>0</v>
      </c>
      <c r="AK65" s="122" t="n">
        <f aca="false">Leverage*AK40</f>
        <v>0</v>
      </c>
      <c r="AL65" s="122" t="n">
        <f aca="false">Leverage*AL40</f>
        <v>0</v>
      </c>
    </row>
    <row r="66" customFormat="false" ht="15" hidden="false" customHeight="false" outlineLevel="0" collapsed="false">
      <c r="C66" s="0" t="s">
        <v>334</v>
      </c>
      <c r="E66" s="104" t="s">
        <v>72</v>
      </c>
      <c r="G66" s="133" t="n">
        <f aca="false">SUM(I66:AL66)</f>
        <v>0</v>
      </c>
      <c r="H66" s="0"/>
      <c r="I66" s="122" t="n">
        <f aca="false">Leverage*I41</f>
        <v>0</v>
      </c>
      <c r="J66" s="122" t="n">
        <f aca="false">Leverage*J41</f>
        <v>0</v>
      </c>
      <c r="K66" s="122" t="n">
        <f aca="false">Leverage*K41</f>
        <v>0</v>
      </c>
      <c r="L66" s="122" t="n">
        <f aca="false">Leverage*L41</f>
        <v>0</v>
      </c>
      <c r="M66" s="122" t="n">
        <f aca="false">Leverage*M41</f>
        <v>0</v>
      </c>
      <c r="N66" s="122" t="n">
        <f aca="false">Leverage*N41</f>
        <v>0</v>
      </c>
      <c r="O66" s="122" t="n">
        <f aca="false">Leverage*O41</f>
        <v>0</v>
      </c>
      <c r="P66" s="122" t="n">
        <f aca="false">Leverage*P41</f>
        <v>0</v>
      </c>
      <c r="Q66" s="122" t="n">
        <f aca="false">Leverage*Q41</f>
        <v>0</v>
      </c>
      <c r="R66" s="122" t="n">
        <f aca="false">Leverage*R41</f>
        <v>0</v>
      </c>
      <c r="S66" s="122" t="n">
        <f aca="false">Leverage*S41</f>
        <v>0</v>
      </c>
      <c r="T66" s="122" t="n">
        <f aca="false">Leverage*T41</f>
        <v>0</v>
      </c>
      <c r="U66" s="122" t="n">
        <f aca="false">Leverage*U41</f>
        <v>0</v>
      </c>
      <c r="V66" s="122" t="n">
        <f aca="false">Leverage*V41</f>
        <v>0</v>
      </c>
      <c r="W66" s="122" t="n">
        <f aca="false">Leverage*W41</f>
        <v>0</v>
      </c>
      <c r="X66" s="122" t="n">
        <f aca="false">Leverage*X41</f>
        <v>0</v>
      </c>
      <c r="Y66" s="122" t="n">
        <f aca="false">Leverage*Y41</f>
        <v>0</v>
      </c>
      <c r="Z66" s="122" t="n">
        <f aca="false">Leverage*Z41</f>
        <v>0</v>
      </c>
      <c r="AA66" s="122" t="n">
        <f aca="false">Leverage*AA41</f>
        <v>0</v>
      </c>
      <c r="AB66" s="122" t="n">
        <f aca="false">Leverage*AB41</f>
        <v>0</v>
      </c>
      <c r="AC66" s="122" t="n">
        <f aca="false">Leverage*AC41</f>
        <v>0</v>
      </c>
      <c r="AD66" s="122" t="n">
        <f aca="false">Leverage*AD41</f>
        <v>0</v>
      </c>
      <c r="AE66" s="122" t="n">
        <f aca="false">Leverage*AE41</f>
        <v>0</v>
      </c>
      <c r="AF66" s="122" t="n">
        <f aca="false">Leverage*AF41</f>
        <v>0</v>
      </c>
      <c r="AG66" s="122" t="n">
        <f aca="false">Leverage*AG41</f>
        <v>0</v>
      </c>
      <c r="AH66" s="122" t="n">
        <f aca="false">Leverage*AH41</f>
        <v>0</v>
      </c>
      <c r="AI66" s="122" t="n">
        <f aca="false">Leverage*AI41</f>
        <v>0</v>
      </c>
      <c r="AJ66" s="122" t="n">
        <f aca="false">Leverage*AJ41</f>
        <v>0</v>
      </c>
      <c r="AK66" s="122" t="n">
        <f aca="false">Leverage*AK41</f>
        <v>0</v>
      </c>
      <c r="AL66" s="122" t="n">
        <f aca="false">Leverage*AL41</f>
        <v>0</v>
      </c>
    </row>
    <row r="67" customFormat="false" ht="15" hidden="false" customHeight="false" outlineLevel="0" collapsed="false">
      <c r="C67" s="0" t="s">
        <v>335</v>
      </c>
      <c r="E67" s="104" t="s">
        <v>72</v>
      </c>
      <c r="G67" s="133" t="e">
        <f aca="false">SUM(I67:AL67)</f>
        <v>#VALUE!</v>
      </c>
      <c r="H67" s="0"/>
      <c r="I67" s="122" t="e">
        <f aca="false">I$6*(I59+SUM(I60:I65)/2)*Bank_Rate</f>
        <v>#VALUE!</v>
      </c>
      <c r="J67" s="122" t="e">
        <f aca="false">J$6*(J59+SUM(J60:J65)/2)*Bank_Rate</f>
        <v>#VALUE!</v>
      </c>
      <c r="K67" s="122" t="e">
        <f aca="false">K$6*(K59+SUM(K60:K65)/2)*Bank_Rate</f>
        <v>#VALUE!</v>
      </c>
      <c r="L67" s="122" t="e">
        <f aca="false">L$6*(L59+SUM(L60:L65)/2)*Bank_Rate</f>
        <v>#VALUE!</v>
      </c>
      <c r="M67" s="122" t="e">
        <f aca="false">M$6*(M59+SUM(M60:M65)/2)*Bank_Rate</f>
        <v>#VALUE!</v>
      </c>
      <c r="N67" s="122" t="e">
        <f aca="false">N$6*(N59+SUM(N60:N65)/2)*Bank_Rate</f>
        <v>#VALUE!</v>
      </c>
      <c r="O67" s="122" t="e">
        <f aca="false">O$6*(O59+SUM(O60:O65)/2)*Bank_Rate</f>
        <v>#VALUE!</v>
      </c>
      <c r="P67" s="122" t="e">
        <f aca="false">P$6*(P59+SUM(P60:P65)/2)*Bank_Rate</f>
        <v>#VALUE!</v>
      </c>
      <c r="Q67" s="122" t="e">
        <f aca="false">Q$6*(Q59+SUM(Q60:Q65)/2)*Bank_Rate</f>
        <v>#VALUE!</v>
      </c>
      <c r="R67" s="122" t="e">
        <f aca="false">R$6*(R59+SUM(R60:R65)/2)*Bank_Rate</f>
        <v>#VALUE!</v>
      </c>
      <c r="S67" s="122" t="e">
        <f aca="false">S$6*(S59+SUM(S60:S65)/2)*Bank_Rate</f>
        <v>#VALUE!</v>
      </c>
      <c r="T67" s="122" t="e">
        <f aca="false">T$6*(T59+SUM(T60:T65)/2)*Bank_Rate</f>
        <v>#VALUE!</v>
      </c>
      <c r="U67" s="122" t="e">
        <f aca="false">U$6*(U59+SUM(U60:U65)/2)*Bank_Rate</f>
        <v>#VALUE!</v>
      </c>
      <c r="V67" s="122" t="e">
        <f aca="false">V$6*(V59+SUM(V60:V65)/2)*Bank_Rate</f>
        <v>#VALUE!</v>
      </c>
      <c r="W67" s="122" t="e">
        <f aca="false">W$6*(W59+SUM(W60:W65)/2)*Bank_Rate</f>
        <v>#VALUE!</v>
      </c>
      <c r="X67" s="122" t="e">
        <f aca="false">X$6*(X59+SUM(X60:X65)/2)*Bank_Rate</f>
        <v>#VALUE!</v>
      </c>
      <c r="Y67" s="122" t="e">
        <f aca="false">Y$6*(Y59+SUM(Y60:Y65)/2)*Bank_Rate</f>
        <v>#VALUE!</v>
      </c>
      <c r="Z67" s="122" t="e">
        <f aca="false">Z$6*(Z59+SUM(Z60:Z65)/2)*Bank_Rate</f>
        <v>#VALUE!</v>
      </c>
      <c r="AA67" s="122" t="e">
        <f aca="false">AA$6*(AA59+SUM(AA60:AA65)/2)*Bank_Rate</f>
        <v>#VALUE!</v>
      </c>
      <c r="AB67" s="122" t="e">
        <f aca="false">AB$6*(AB59+SUM(AB60:AB65)/2)*Bank_Rate</f>
        <v>#VALUE!</v>
      </c>
      <c r="AC67" s="122" t="e">
        <f aca="false">AC$6*(AC59+SUM(AC60:AC65)/2)*Bank_Rate</f>
        <v>#VALUE!</v>
      </c>
      <c r="AD67" s="122" t="e">
        <f aca="false">AD$6*(AD59+SUM(AD60:AD65)/2)*Bank_Rate</f>
        <v>#VALUE!</v>
      </c>
      <c r="AE67" s="122" t="e">
        <f aca="false">AE$6*(AE59+SUM(AE60:AE65)/2)*Bank_Rate</f>
        <v>#VALUE!</v>
      </c>
      <c r="AF67" s="122" t="e">
        <f aca="false">AF$6*(AF59+SUM(AF60:AF65)/2)*Bank_Rate</f>
        <v>#VALUE!</v>
      </c>
      <c r="AG67" s="122" t="e">
        <f aca="false">AG$6*(AG59+SUM(AG60:AG65)/2)*Bank_Rate</f>
        <v>#VALUE!</v>
      </c>
      <c r="AH67" s="122" t="e">
        <f aca="false">AH$6*(AH59+SUM(AH60:AH65)/2)*Bank_Rate</f>
        <v>#VALUE!</v>
      </c>
      <c r="AI67" s="122" t="e">
        <f aca="false">AI$6*(AI59+SUM(AI60:AI65)/2)*Bank_Rate</f>
        <v>#VALUE!</v>
      </c>
      <c r="AJ67" s="122" t="e">
        <f aca="false">AJ$6*(AJ59+SUM(AJ60:AJ65)/2)*Bank_Rate</f>
        <v>#VALUE!</v>
      </c>
      <c r="AK67" s="122" t="e">
        <f aca="false">AK$6*(AK59+SUM(AK60:AK65)/2)*Bank_Rate</f>
        <v>#VALUE!</v>
      </c>
      <c r="AL67" s="122" t="e">
        <f aca="false">AL$6*(AL59+SUM(AL60:AL65)/2)*Bank_Rate</f>
        <v>#VALUE!</v>
      </c>
    </row>
    <row r="68" customFormat="false" ht="15" hidden="false" customHeight="false" outlineLevel="0" collapsed="false">
      <c r="C68" s="0" t="s">
        <v>233</v>
      </c>
      <c r="E68" s="104" t="s">
        <v>72</v>
      </c>
      <c r="G68" s="133" t="e">
        <f aca="false">SUM(I68:AL68)</f>
        <v>#VALUE!</v>
      </c>
      <c r="H68" s="0"/>
      <c r="I68" s="122" t="e">
        <f aca="false">I67*WHT_Interest</f>
        <v>#VALUE!</v>
      </c>
      <c r="J68" s="122" t="e">
        <f aca="false">J67*WHT_Interest</f>
        <v>#VALUE!</v>
      </c>
      <c r="K68" s="122" t="e">
        <f aca="false">K67*WHT_Interest</f>
        <v>#VALUE!</v>
      </c>
      <c r="L68" s="122" t="e">
        <f aca="false">L67*WHT_Interest</f>
        <v>#VALUE!</v>
      </c>
      <c r="M68" s="122" t="e">
        <f aca="false">M67*WHT_Interest</f>
        <v>#VALUE!</v>
      </c>
      <c r="N68" s="122" t="e">
        <f aca="false">N67*WHT_Interest</f>
        <v>#VALUE!</v>
      </c>
      <c r="O68" s="122" t="e">
        <f aca="false">O67*WHT_Interest</f>
        <v>#VALUE!</v>
      </c>
      <c r="P68" s="122" t="e">
        <f aca="false">P67*WHT_Interest</f>
        <v>#VALUE!</v>
      </c>
      <c r="Q68" s="122" t="e">
        <f aca="false">Q67*WHT_Interest</f>
        <v>#VALUE!</v>
      </c>
      <c r="R68" s="122" t="e">
        <f aca="false">R67*WHT_Interest</f>
        <v>#VALUE!</v>
      </c>
      <c r="S68" s="122" t="e">
        <f aca="false">S67*WHT_Interest</f>
        <v>#VALUE!</v>
      </c>
      <c r="T68" s="122" t="e">
        <f aca="false">T67*WHT_Interest</f>
        <v>#VALUE!</v>
      </c>
      <c r="U68" s="122" t="e">
        <f aca="false">U67*WHT_Interest</f>
        <v>#VALUE!</v>
      </c>
      <c r="V68" s="122" t="e">
        <f aca="false">V67*WHT_Interest</f>
        <v>#VALUE!</v>
      </c>
      <c r="W68" s="122" t="e">
        <f aca="false">W67*WHT_Interest</f>
        <v>#VALUE!</v>
      </c>
      <c r="X68" s="122" t="e">
        <f aca="false">X67*WHT_Interest</f>
        <v>#VALUE!</v>
      </c>
      <c r="Y68" s="122" t="e">
        <f aca="false">Y67*WHT_Interest</f>
        <v>#VALUE!</v>
      </c>
      <c r="Z68" s="122" t="e">
        <f aca="false">Z67*WHT_Interest</f>
        <v>#VALUE!</v>
      </c>
      <c r="AA68" s="122" t="e">
        <f aca="false">AA67*WHT_Interest</f>
        <v>#VALUE!</v>
      </c>
      <c r="AB68" s="122" t="e">
        <f aca="false">AB67*WHT_Interest</f>
        <v>#VALUE!</v>
      </c>
      <c r="AC68" s="122" t="e">
        <f aca="false">AC67*WHT_Interest</f>
        <v>#VALUE!</v>
      </c>
      <c r="AD68" s="122" t="e">
        <f aca="false">AD67*WHT_Interest</f>
        <v>#VALUE!</v>
      </c>
      <c r="AE68" s="122" t="e">
        <f aca="false">AE67*WHT_Interest</f>
        <v>#VALUE!</v>
      </c>
      <c r="AF68" s="122" t="e">
        <f aca="false">AF67*WHT_Interest</f>
        <v>#VALUE!</v>
      </c>
      <c r="AG68" s="122" t="e">
        <f aca="false">AG67*WHT_Interest</f>
        <v>#VALUE!</v>
      </c>
      <c r="AH68" s="122" t="e">
        <f aca="false">AH67*WHT_Interest</f>
        <v>#VALUE!</v>
      </c>
      <c r="AI68" s="122" t="e">
        <f aca="false">AI67*WHT_Interest</f>
        <v>#VALUE!</v>
      </c>
      <c r="AJ68" s="122" t="e">
        <f aca="false">AJ67*WHT_Interest</f>
        <v>#VALUE!</v>
      </c>
      <c r="AK68" s="122" t="e">
        <f aca="false">AK67*WHT_Interest</f>
        <v>#VALUE!</v>
      </c>
      <c r="AL68" s="122" t="e">
        <f aca="false">AL67*WHT_Interest</f>
        <v>#VALUE!</v>
      </c>
    </row>
    <row r="69" customFormat="false" ht="15" hidden="false" customHeight="false" outlineLevel="0" collapsed="false">
      <c r="C69" s="117" t="s">
        <v>336</v>
      </c>
      <c r="D69" s="117"/>
      <c r="E69" s="118" t="s">
        <v>72</v>
      </c>
      <c r="F69" s="117"/>
      <c r="G69" s="123" t="n">
        <f aca="false">SUM(G59:G68)</f>
        <v>19625364.4342008</v>
      </c>
      <c r="H69" s="119"/>
      <c r="I69" s="121" t="n">
        <f aca="false">SUM(I59:I68)</f>
        <v>19625364.4342008</v>
      </c>
      <c r="J69" s="121" t="e">
        <f aca="false">SUM(J59:J68)</f>
        <v>#VALUE!</v>
      </c>
      <c r="K69" s="121" t="e">
        <f aca="false">SUM(K59:K68)</f>
        <v>#VALUE!</v>
      </c>
      <c r="L69" s="121" t="e">
        <f aca="false">SUM(L59:L68)</f>
        <v>#VALUE!</v>
      </c>
      <c r="M69" s="121" t="e">
        <f aca="false">SUM(M59:M68)</f>
        <v>#VALUE!</v>
      </c>
      <c r="N69" s="121" t="e">
        <f aca="false">SUM(N59:N68)</f>
        <v>#VALUE!</v>
      </c>
      <c r="O69" s="121" t="e">
        <f aca="false">SUM(O59:O68)</f>
        <v>#VALUE!</v>
      </c>
      <c r="P69" s="121" t="e">
        <f aca="false">SUM(P59:P68)</f>
        <v>#VALUE!</v>
      </c>
      <c r="Q69" s="121" t="e">
        <f aca="false">SUM(Q59:Q68)</f>
        <v>#VALUE!</v>
      </c>
      <c r="R69" s="121" t="e">
        <f aca="false">SUM(R59:R68)</f>
        <v>#VALUE!</v>
      </c>
      <c r="S69" s="121" t="e">
        <f aca="false">SUM(S59:S68)</f>
        <v>#VALUE!</v>
      </c>
      <c r="T69" s="121" t="e">
        <f aca="false">SUM(T59:T68)</f>
        <v>#VALUE!</v>
      </c>
      <c r="U69" s="121" t="e">
        <f aca="false">SUM(U59:U68)</f>
        <v>#VALUE!</v>
      </c>
      <c r="V69" s="121" t="e">
        <f aca="false">SUM(V59:V68)</f>
        <v>#VALUE!</v>
      </c>
      <c r="W69" s="121" t="e">
        <f aca="false">SUM(W59:W68)</f>
        <v>#VALUE!</v>
      </c>
      <c r="X69" s="121" t="e">
        <f aca="false">SUM(X59:X68)</f>
        <v>#VALUE!</v>
      </c>
      <c r="Y69" s="121" t="e">
        <f aca="false">SUM(Y59:Y68)</f>
        <v>#VALUE!</v>
      </c>
      <c r="Z69" s="121" t="e">
        <f aca="false">SUM(Z59:Z68)</f>
        <v>#VALUE!</v>
      </c>
      <c r="AA69" s="121" t="e">
        <f aca="false">SUM(AA59:AA68)</f>
        <v>#VALUE!</v>
      </c>
      <c r="AB69" s="121" t="e">
        <f aca="false">SUM(AB59:AB68)</f>
        <v>#VALUE!</v>
      </c>
      <c r="AC69" s="121" t="e">
        <f aca="false">SUM(AC59:AC68)</f>
        <v>#VALUE!</v>
      </c>
      <c r="AD69" s="121" t="e">
        <f aca="false">SUM(AD59:AD68)</f>
        <v>#VALUE!</v>
      </c>
      <c r="AE69" s="121" t="e">
        <f aca="false">SUM(AE59:AE68)</f>
        <v>#VALUE!</v>
      </c>
      <c r="AF69" s="121" t="e">
        <f aca="false">SUM(AF59:AF68)</f>
        <v>#VALUE!</v>
      </c>
      <c r="AG69" s="121" t="e">
        <f aca="false">SUM(AG59:AG68)</f>
        <v>#VALUE!</v>
      </c>
      <c r="AH69" s="121" t="e">
        <f aca="false">SUM(AH59:AH68)</f>
        <v>#VALUE!</v>
      </c>
      <c r="AI69" s="121" t="e">
        <f aca="false">SUM(AI59:AI68)</f>
        <v>#VALUE!</v>
      </c>
      <c r="AJ69" s="121" t="e">
        <f aca="false">SUM(AJ59:AJ68)</f>
        <v>#VALUE!</v>
      </c>
      <c r="AK69" s="121" t="e">
        <f aca="false">SUM(AK59:AK68)</f>
        <v>#VALUE!</v>
      </c>
      <c r="AL69" s="121" t="e">
        <f aca="false">SUM(AL59:AL68)</f>
        <v>#VALUE!</v>
      </c>
    </row>
    <row r="70" customFormat="false" ht="15" hidden="false" customHeight="false" outlineLevel="0" collapsed="false">
      <c r="C70" s="154"/>
      <c r="D70" s="154"/>
      <c r="E70" s="155"/>
      <c r="F70" s="154"/>
      <c r="G70" s="131"/>
      <c r="H70" s="0"/>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row>
    <row r="71" customFormat="false" ht="15" hidden="false" customHeight="false" outlineLevel="0" collapsed="false">
      <c r="B71" s="2" t="e">
        <f aca="false">(MAX($A$7:B70)+0.1)</f>
        <v>#VALUE!</v>
      </c>
      <c r="C71" s="2" t="s">
        <v>337</v>
      </c>
      <c r="D71" s="154"/>
      <c r="E71" s="155"/>
      <c r="F71" s="154"/>
      <c r="G71" s="131"/>
      <c r="H71" s="0"/>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row>
    <row r="72" customFormat="false" ht="15" hidden="false" customHeight="false" outlineLevel="0" collapsed="false">
      <c r="C72" s="154"/>
      <c r="D72" s="154"/>
      <c r="E72" s="155"/>
      <c r="F72" s="154"/>
      <c r="G72" s="131"/>
      <c r="H72" s="0"/>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row>
    <row r="73" customFormat="false" ht="15" hidden="false" customHeight="false" outlineLevel="0" collapsed="false">
      <c r="C73" s="157" t="s">
        <v>338</v>
      </c>
      <c r="D73" s="157"/>
      <c r="E73" s="104" t="s">
        <v>72</v>
      </c>
      <c r="F73" s="154"/>
      <c r="G73" s="122" t="e">
        <f aca="false">SUM(I73:AL73)</f>
        <v>#VALUE!</v>
      </c>
      <c r="H73" s="0"/>
      <c r="I73" s="122" t="e">
        <f aca="false">(Bank_Terms="amortization")*I119+(Bank_Terms="fixed principal")*I107+(Bank_Terms="DSCR")*I95</f>
        <v>#VALUE!</v>
      </c>
      <c r="J73" s="122" t="e">
        <f aca="false">(Bank_Terms="amortization")*J119+(Bank_Terms="fixed principal")*J107+(Bank_Terms="DSCR")*J95</f>
        <v>#VALUE!</v>
      </c>
      <c r="K73" s="122" t="e">
        <f aca="false">(Bank_Terms="amortization")*K119+(Bank_Terms="fixed principal")*K107+(Bank_Terms="DSCR")*K95</f>
        <v>#VALUE!</v>
      </c>
      <c r="L73" s="122" t="e">
        <f aca="false">(Bank_Terms="amortization")*L119+(Bank_Terms="fixed principal")*L107+(Bank_Terms="DSCR")*L95</f>
        <v>#VALUE!</v>
      </c>
      <c r="M73" s="122" t="e">
        <f aca="false">(Bank_Terms="amortization")*M119+(Bank_Terms="fixed principal")*M107+(Bank_Terms="DSCR")*M95</f>
        <v>#VALUE!</v>
      </c>
      <c r="N73" s="122" t="e">
        <f aca="false">(Bank_Terms="amortization")*N119+(Bank_Terms="fixed principal")*N107+(Bank_Terms="DSCR")*N95</f>
        <v>#VALUE!</v>
      </c>
      <c r="O73" s="122" t="e">
        <f aca="false">(Bank_Terms="amortization")*O119+(Bank_Terms="fixed principal")*O107+(Bank_Terms="DSCR")*O95</f>
        <v>#VALUE!</v>
      </c>
      <c r="P73" s="122" t="e">
        <f aca="false">(Bank_Terms="amortization")*P119+(Bank_Terms="fixed principal")*P107+(Bank_Terms="DSCR")*P95</f>
        <v>#VALUE!</v>
      </c>
      <c r="Q73" s="122" t="e">
        <f aca="false">(Bank_Terms="amortization")*Q119+(Bank_Terms="fixed principal")*Q107+(Bank_Terms="DSCR")*Q95</f>
        <v>#VALUE!</v>
      </c>
      <c r="R73" s="122" t="e">
        <f aca="false">(Bank_Terms="amortization")*R119+(Bank_Terms="fixed principal")*R107+(Bank_Terms="DSCR")*R95</f>
        <v>#VALUE!</v>
      </c>
      <c r="S73" s="122" t="e">
        <f aca="false">(Bank_Terms="amortization")*S119+(Bank_Terms="fixed principal")*S107+(Bank_Terms="DSCR")*S95</f>
        <v>#VALUE!</v>
      </c>
      <c r="T73" s="122" t="e">
        <f aca="false">(Bank_Terms="amortization")*T119+(Bank_Terms="fixed principal")*T107+(Bank_Terms="DSCR")*T95</f>
        <v>#VALUE!</v>
      </c>
      <c r="U73" s="122" t="e">
        <f aca="false">(Bank_Terms="amortization")*U119+(Bank_Terms="fixed principal")*U107+(Bank_Terms="DSCR")*U95</f>
        <v>#VALUE!</v>
      </c>
      <c r="V73" s="122" t="e">
        <f aca="false">(Bank_Terms="amortization")*V119+(Bank_Terms="fixed principal")*V107+(Bank_Terms="DSCR")*V95</f>
        <v>#VALUE!</v>
      </c>
      <c r="W73" s="122" t="e">
        <f aca="false">(Bank_Terms="amortization")*W119+(Bank_Terms="fixed principal")*W107+(Bank_Terms="DSCR")*W95</f>
        <v>#VALUE!</v>
      </c>
      <c r="X73" s="122" t="e">
        <f aca="false">(Bank_Terms="amortization")*X119+(Bank_Terms="fixed principal")*X107+(Bank_Terms="DSCR")*X95</f>
        <v>#VALUE!</v>
      </c>
      <c r="Y73" s="122" t="e">
        <f aca="false">(Bank_Terms="amortization")*Y119+(Bank_Terms="fixed principal")*Y107+(Bank_Terms="DSCR")*Y95</f>
        <v>#VALUE!</v>
      </c>
      <c r="Z73" s="122" t="e">
        <f aca="false">(Bank_Terms="amortization")*Z119+(Bank_Terms="fixed principal")*Z107+(Bank_Terms="DSCR")*Z95</f>
        <v>#VALUE!</v>
      </c>
      <c r="AA73" s="122" t="e">
        <f aca="false">(Bank_Terms="amortization")*AA119+(Bank_Terms="fixed principal")*AA107+(Bank_Terms="DSCR")*AA95</f>
        <v>#VALUE!</v>
      </c>
      <c r="AB73" s="122" t="e">
        <f aca="false">(Bank_Terms="amortization")*AB119+(Bank_Terms="fixed principal")*AB107+(Bank_Terms="DSCR")*AB95</f>
        <v>#VALUE!</v>
      </c>
      <c r="AC73" s="122" t="e">
        <f aca="false">(Bank_Terms="amortization")*AC119+(Bank_Terms="fixed principal")*AC107+(Bank_Terms="DSCR")*AC95</f>
        <v>#VALUE!</v>
      </c>
      <c r="AD73" s="122" t="e">
        <f aca="false">(Bank_Terms="amortization")*AD119+(Bank_Terms="fixed principal")*AD107+(Bank_Terms="DSCR")*AD95</f>
        <v>#VALUE!</v>
      </c>
      <c r="AE73" s="122" t="e">
        <f aca="false">(Bank_Terms="amortization")*AE119+(Bank_Terms="fixed principal")*AE107+(Bank_Terms="DSCR")*AE95</f>
        <v>#VALUE!</v>
      </c>
      <c r="AF73" s="122" t="e">
        <f aca="false">(Bank_Terms="amortization")*AF119+(Bank_Terms="fixed principal")*AF107+(Bank_Terms="DSCR")*AF95</f>
        <v>#VALUE!</v>
      </c>
      <c r="AG73" s="122" t="e">
        <f aca="false">(Bank_Terms="amortization")*AG119+(Bank_Terms="fixed principal")*AG107+(Bank_Terms="DSCR")*AG95</f>
        <v>#VALUE!</v>
      </c>
      <c r="AH73" s="122" t="e">
        <f aca="false">(Bank_Terms="amortization")*AH119+(Bank_Terms="fixed principal")*AH107+(Bank_Terms="DSCR")*AH95</f>
        <v>#VALUE!</v>
      </c>
      <c r="AI73" s="122" t="e">
        <f aca="false">(Bank_Terms="amortization")*AI119+(Bank_Terms="fixed principal")*AI107+(Bank_Terms="DSCR")*AI95</f>
        <v>#VALUE!</v>
      </c>
      <c r="AJ73" s="122" t="e">
        <f aca="false">(Bank_Terms="amortization")*AJ119+(Bank_Terms="fixed principal")*AJ107+(Bank_Terms="DSCR")*AJ95</f>
        <v>#VALUE!</v>
      </c>
      <c r="AK73" s="122" t="e">
        <f aca="false">(Bank_Terms="amortization")*AK119+(Bank_Terms="fixed principal")*AK107+(Bank_Terms="DSCR")*AK95</f>
        <v>#VALUE!</v>
      </c>
      <c r="AL73" s="122" t="e">
        <f aca="false">(Bank_Terms="amortization")*AL119+(Bank_Terms="fixed principal")*AL107+(Bank_Terms="DSCR")*AL95</f>
        <v>#VALUE!</v>
      </c>
    </row>
    <row r="74" customFormat="false" ht="15" hidden="false" customHeight="false" outlineLevel="0" collapsed="false">
      <c r="C74" s="157" t="s">
        <v>339</v>
      </c>
      <c r="D74" s="157"/>
      <c r="E74" s="104" t="s">
        <v>72</v>
      </c>
      <c r="F74" s="154"/>
      <c r="G74" s="122" t="n">
        <f aca="false">SUM(I74:AL74)</f>
        <v>0</v>
      </c>
      <c r="H74" s="0"/>
      <c r="I74" s="122" t="n">
        <f aca="false">IF(Bank_Terms="amortization",I122,IF(Bank_Terms="fixed principal",I110,I98))</f>
        <v>0</v>
      </c>
      <c r="J74" s="122" t="n">
        <f aca="false">IF(Bank_Terms="amortization",J122,IF(Bank_Terms="fixed principal",J110,J98))</f>
        <v>0</v>
      </c>
      <c r="K74" s="122" t="n">
        <f aca="false">IF(Bank_Terms="amortization",K122,IF(Bank_Terms="fixed principal",K110,K98))</f>
        <v>0</v>
      </c>
      <c r="L74" s="122" t="n">
        <f aca="false">IF(Bank_Terms="amortization",L122,IF(Bank_Terms="fixed principal",L110,L98))</f>
        <v>0</v>
      </c>
      <c r="M74" s="122" t="n">
        <f aca="false">IF(Bank_Terms="amortization",M122,IF(Bank_Terms="fixed principal",M110,M98))</f>
        <v>0</v>
      </c>
      <c r="N74" s="122" t="n">
        <f aca="false">IF(Bank_Terms="amortization",N122,IF(Bank_Terms="fixed principal",N110,N98))</f>
        <v>0</v>
      </c>
      <c r="O74" s="122" t="n">
        <f aca="false">IF(Bank_Terms="amortization",O122,IF(Bank_Terms="fixed principal",O110,O98))</f>
        <v>0</v>
      </c>
      <c r="P74" s="122" t="n">
        <f aca="false">IF(Bank_Terms="amortization",P122,IF(Bank_Terms="fixed principal",P110,P98))</f>
        <v>0</v>
      </c>
      <c r="Q74" s="122" t="n">
        <f aca="false">IF(Bank_Terms="amortization",Q122,IF(Bank_Terms="fixed principal",Q110,Q98))</f>
        <v>0</v>
      </c>
      <c r="R74" s="122" t="n">
        <f aca="false">IF(Bank_Terms="amortization",R122,IF(Bank_Terms="fixed principal",R110,R98))</f>
        <v>0</v>
      </c>
      <c r="S74" s="122" t="n">
        <f aca="false">IF(Bank_Terms="amortization",S122,IF(Bank_Terms="fixed principal",S110,S98))</f>
        <v>0</v>
      </c>
      <c r="T74" s="122" t="n">
        <f aca="false">IF(Bank_Terms="amortization",T122,IF(Bank_Terms="fixed principal",T110,T98))</f>
        <v>0</v>
      </c>
      <c r="U74" s="122" t="n">
        <f aca="false">IF(Bank_Terms="amortization",U122,IF(Bank_Terms="fixed principal",U110,U98))</f>
        <v>0</v>
      </c>
      <c r="V74" s="122" t="n">
        <f aca="false">IF(Bank_Terms="amortization",V122,IF(Bank_Terms="fixed principal",V110,V98))</f>
        <v>0</v>
      </c>
      <c r="W74" s="122" t="n">
        <f aca="false">IF(Bank_Terms="amortization",W122,IF(Bank_Terms="fixed principal",W110,W98))</f>
        <v>0</v>
      </c>
      <c r="X74" s="122" t="n">
        <f aca="false">IF(Bank_Terms="amortization",X122,IF(Bank_Terms="fixed principal",X110,X98))</f>
        <v>0</v>
      </c>
      <c r="Y74" s="122" t="n">
        <f aca="false">IF(Bank_Terms="amortization",Y122,IF(Bank_Terms="fixed principal",Y110,Y98))</f>
        <v>0</v>
      </c>
      <c r="Z74" s="122" t="n">
        <f aca="false">IF(Bank_Terms="amortization",Z122,IF(Bank_Terms="fixed principal",Z110,Z98))</f>
        <v>0</v>
      </c>
      <c r="AA74" s="122" t="n">
        <f aca="false">IF(Bank_Terms="amortization",AA122,IF(Bank_Terms="fixed principal",AA110,AA98))</f>
        <v>0</v>
      </c>
      <c r="AB74" s="122" t="n">
        <f aca="false">IF(Bank_Terms="amortization",AB122,IF(Bank_Terms="fixed principal",AB110,AB98))</f>
        <v>0</v>
      </c>
      <c r="AC74" s="122" t="n">
        <f aca="false">IF(Bank_Terms="amortization",AC122,IF(Bank_Terms="fixed principal",AC110,AC98))</f>
        <v>0</v>
      </c>
      <c r="AD74" s="122" t="n">
        <f aca="false">IF(Bank_Terms="amortization",AD122,IF(Bank_Terms="fixed principal",AD110,AD98))</f>
        <v>0</v>
      </c>
      <c r="AE74" s="122" t="n">
        <f aca="false">IF(Bank_Terms="amortization",AE122,IF(Bank_Terms="fixed principal",AE110,AE98))</f>
        <v>0</v>
      </c>
      <c r="AF74" s="122" t="n">
        <f aca="false">IF(Bank_Terms="amortization",AF122,IF(Bank_Terms="fixed principal",AF110,AF98))</f>
        <v>0</v>
      </c>
      <c r="AG74" s="122" t="n">
        <f aca="false">IF(Bank_Terms="amortization",AG122,IF(Bank_Terms="fixed principal",AG110,AG98))</f>
        <v>0</v>
      </c>
      <c r="AH74" s="122" t="n">
        <f aca="false">IF(Bank_Terms="amortization",AH122,IF(Bank_Terms="fixed principal",AH110,AH98))</f>
        <v>0</v>
      </c>
      <c r="AI74" s="122" t="n">
        <f aca="false">IF(Bank_Terms="amortization",AI122,IF(Bank_Terms="fixed principal",AI110,AI98))</f>
        <v>0</v>
      </c>
      <c r="AJ74" s="122" t="n">
        <f aca="false">IF(Bank_Terms="amortization",AJ122,IF(Bank_Terms="fixed principal",AJ110,AJ98))</f>
        <v>0</v>
      </c>
      <c r="AK74" s="122" t="n">
        <f aca="false">IF(Bank_Terms="amortization",AK122,IF(Bank_Terms="fixed principal",AK110,AK98))</f>
        <v>0</v>
      </c>
      <c r="AL74" s="122" t="n">
        <f aca="false">IF(Bank_Terms="amortization",AL122,IF(Bank_Terms="fixed principal",AL110,AL98))</f>
        <v>0</v>
      </c>
    </row>
    <row r="75" customFormat="false" ht="15" hidden="false" customHeight="false" outlineLevel="0" collapsed="false">
      <c r="C75" s="158" t="s">
        <v>340</v>
      </c>
      <c r="D75" s="158"/>
      <c r="E75" s="118" t="s">
        <v>72</v>
      </c>
      <c r="F75" s="117"/>
      <c r="G75" s="123"/>
      <c r="H75" s="119"/>
      <c r="I75" s="121" t="e">
        <f aca="false">SUM(I73:I74)</f>
        <v>#VALUE!</v>
      </c>
      <c r="J75" s="121" t="e">
        <f aca="false">SUM(J73:J74)</f>
        <v>#VALUE!</v>
      </c>
      <c r="K75" s="121" t="e">
        <f aca="false">SUM(K73:K74)</f>
        <v>#VALUE!</v>
      </c>
      <c r="L75" s="121" t="e">
        <f aca="false">SUM(L73:L74)</f>
        <v>#VALUE!</v>
      </c>
      <c r="M75" s="121" t="e">
        <f aca="false">SUM(M73:M74)</f>
        <v>#VALUE!</v>
      </c>
      <c r="N75" s="121" t="e">
        <f aca="false">SUM(N73:N74)</f>
        <v>#VALUE!</v>
      </c>
      <c r="O75" s="121" t="e">
        <f aca="false">SUM(O73:O74)</f>
        <v>#VALUE!</v>
      </c>
      <c r="P75" s="121" t="e">
        <f aca="false">SUM(P73:P74)</f>
        <v>#VALUE!</v>
      </c>
      <c r="Q75" s="121" t="e">
        <f aca="false">SUM(Q73:Q74)</f>
        <v>#VALUE!</v>
      </c>
      <c r="R75" s="121" t="e">
        <f aca="false">SUM(R73:R74)</f>
        <v>#VALUE!</v>
      </c>
      <c r="S75" s="121" t="e">
        <f aca="false">SUM(S73:S74)</f>
        <v>#VALUE!</v>
      </c>
      <c r="T75" s="121" t="e">
        <f aca="false">SUM(T73:T74)</f>
        <v>#VALUE!</v>
      </c>
      <c r="U75" s="121" t="e">
        <f aca="false">SUM(U73:U74)</f>
        <v>#VALUE!</v>
      </c>
      <c r="V75" s="121" t="e">
        <f aca="false">SUM(V73:V74)</f>
        <v>#VALUE!</v>
      </c>
      <c r="W75" s="121" t="e">
        <f aca="false">SUM(W73:W74)</f>
        <v>#VALUE!</v>
      </c>
      <c r="X75" s="121" t="e">
        <f aca="false">SUM(X73:X74)</f>
        <v>#VALUE!</v>
      </c>
      <c r="Y75" s="121" t="e">
        <f aca="false">SUM(Y73:Y74)</f>
        <v>#VALUE!</v>
      </c>
      <c r="Z75" s="121" t="e">
        <f aca="false">SUM(Z73:Z74)</f>
        <v>#VALUE!</v>
      </c>
      <c r="AA75" s="121" t="e">
        <f aca="false">SUM(AA73:AA74)</f>
        <v>#VALUE!</v>
      </c>
      <c r="AB75" s="121" t="e">
        <f aca="false">SUM(AB73:AB74)</f>
        <v>#VALUE!</v>
      </c>
      <c r="AC75" s="121" t="e">
        <f aca="false">SUM(AC73:AC74)</f>
        <v>#VALUE!</v>
      </c>
      <c r="AD75" s="121" t="e">
        <f aca="false">SUM(AD73:AD74)</f>
        <v>#VALUE!</v>
      </c>
      <c r="AE75" s="121" t="e">
        <f aca="false">SUM(AE73:AE74)</f>
        <v>#VALUE!</v>
      </c>
      <c r="AF75" s="121" t="e">
        <f aca="false">SUM(AF73:AF74)</f>
        <v>#VALUE!</v>
      </c>
      <c r="AG75" s="121" t="e">
        <f aca="false">SUM(AG73:AG74)</f>
        <v>#VALUE!</v>
      </c>
      <c r="AH75" s="121" t="e">
        <f aca="false">SUM(AH73:AH74)</f>
        <v>#VALUE!</v>
      </c>
      <c r="AI75" s="121" t="e">
        <f aca="false">SUM(AI73:AI74)</f>
        <v>#VALUE!</v>
      </c>
      <c r="AJ75" s="121" t="e">
        <f aca="false">SUM(AJ73:AJ74)</f>
        <v>#VALUE!</v>
      </c>
      <c r="AK75" s="121" t="e">
        <f aca="false">SUM(AK73:AK74)</f>
        <v>#VALUE!</v>
      </c>
      <c r="AL75" s="121" t="e">
        <f aca="false">SUM(AL73:AL74)</f>
        <v>#VALUE!</v>
      </c>
    </row>
    <row r="76" customFormat="false" ht="15" hidden="false" customHeight="false" outlineLevel="0" collapsed="false">
      <c r="C76" s="154"/>
      <c r="D76" s="154"/>
      <c r="E76" s="155"/>
      <c r="F76" s="154"/>
      <c r="G76" s="131"/>
      <c r="H76" s="0"/>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row>
    <row r="77" customFormat="false" ht="15" hidden="false" customHeight="false" outlineLevel="0" collapsed="false">
      <c r="C77" s="157" t="s">
        <v>341</v>
      </c>
      <c r="D77" s="157"/>
      <c r="E77" s="159" t="str">
        <f aca="false">Bank_Terms</f>
        <v>amortization</v>
      </c>
      <c r="F77" s="154"/>
      <c r="G77" s="131"/>
      <c r="H77" s="0"/>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row>
    <row r="78" customFormat="false" ht="15" hidden="false" customHeight="false" outlineLevel="0" collapsed="false">
      <c r="C78" s="0" t="s">
        <v>327</v>
      </c>
      <c r="D78" s="154"/>
      <c r="E78" s="104" t="s">
        <v>72</v>
      </c>
      <c r="F78" s="154"/>
      <c r="G78" s="131"/>
      <c r="H78" s="0"/>
      <c r="I78" s="122" t="n">
        <f aca="false">H82</f>
        <v>0</v>
      </c>
      <c r="J78" s="122" t="e">
        <f aca="false">I82</f>
        <v>#VALUE!</v>
      </c>
      <c r="K78" s="122" t="e">
        <f aca="false">J82</f>
        <v>#VALUE!</v>
      </c>
      <c r="L78" s="122" t="e">
        <f aca="false">K82</f>
        <v>#VALUE!</v>
      </c>
      <c r="M78" s="122" t="e">
        <f aca="false">L82</f>
        <v>#VALUE!</v>
      </c>
      <c r="N78" s="122" t="e">
        <f aca="false">M82</f>
        <v>#VALUE!</v>
      </c>
      <c r="O78" s="122" t="e">
        <f aca="false">N82</f>
        <v>#VALUE!</v>
      </c>
      <c r="P78" s="122" t="e">
        <f aca="false">O82</f>
        <v>#VALUE!</v>
      </c>
      <c r="Q78" s="122" t="e">
        <f aca="false">P82</f>
        <v>#VALUE!</v>
      </c>
      <c r="R78" s="122" t="e">
        <f aca="false">Q82</f>
        <v>#VALUE!</v>
      </c>
      <c r="S78" s="122" t="e">
        <f aca="false">R82</f>
        <v>#VALUE!</v>
      </c>
      <c r="T78" s="122" t="e">
        <f aca="false">S82</f>
        <v>#VALUE!</v>
      </c>
      <c r="U78" s="122" t="e">
        <f aca="false">T82</f>
        <v>#VALUE!</v>
      </c>
      <c r="V78" s="122" t="e">
        <f aca="false">U82</f>
        <v>#VALUE!</v>
      </c>
      <c r="W78" s="122" t="e">
        <f aca="false">V82</f>
        <v>#VALUE!</v>
      </c>
      <c r="X78" s="122" t="e">
        <f aca="false">W82</f>
        <v>#VALUE!</v>
      </c>
      <c r="Y78" s="122" t="e">
        <f aca="false">X82</f>
        <v>#VALUE!</v>
      </c>
      <c r="Z78" s="122" t="e">
        <f aca="false">Y82</f>
        <v>#VALUE!</v>
      </c>
      <c r="AA78" s="122" t="e">
        <f aca="false">Z82</f>
        <v>#VALUE!</v>
      </c>
      <c r="AB78" s="122" t="e">
        <f aca="false">AA82</f>
        <v>#VALUE!</v>
      </c>
      <c r="AC78" s="122" t="e">
        <f aca="false">AB82</f>
        <v>#VALUE!</v>
      </c>
      <c r="AD78" s="122" t="e">
        <f aca="false">AC82</f>
        <v>#VALUE!</v>
      </c>
      <c r="AE78" s="122" t="e">
        <f aca="false">AD82</f>
        <v>#VALUE!</v>
      </c>
      <c r="AF78" s="122" t="e">
        <f aca="false">AE82</f>
        <v>#VALUE!</v>
      </c>
      <c r="AG78" s="122" t="e">
        <f aca="false">AF82</f>
        <v>#VALUE!</v>
      </c>
      <c r="AH78" s="122" t="e">
        <f aca="false">AG82</f>
        <v>#VALUE!</v>
      </c>
      <c r="AI78" s="122" t="e">
        <f aca="false">AH82</f>
        <v>#VALUE!</v>
      </c>
      <c r="AJ78" s="122" t="e">
        <f aca="false">AI82</f>
        <v>#VALUE!</v>
      </c>
      <c r="AK78" s="122" t="e">
        <f aca="false">AJ82</f>
        <v>#VALUE!</v>
      </c>
      <c r="AL78" s="122" t="e">
        <f aca="false">AK82</f>
        <v>#VALUE!</v>
      </c>
    </row>
    <row r="79" customFormat="false" ht="15" hidden="false" customHeight="false" outlineLevel="0" collapsed="false">
      <c r="C79" s="0" t="s">
        <v>342</v>
      </c>
      <c r="D79" s="154"/>
      <c r="E79" s="104" t="s">
        <v>72</v>
      </c>
      <c r="F79" s="154"/>
      <c r="G79" s="131"/>
      <c r="H79" s="0"/>
      <c r="I79" s="122" t="n">
        <f aca="false">(Bank_Terms="amortization")*I117+(Bank_Terms="fixed principal")*I105+(Bank_Terms="DSCR")*I93</f>
        <v>18916013.9124827</v>
      </c>
      <c r="J79" s="122" t="e">
        <f aca="false">(Bank_Terms="amortization")*J117+(Bank_Terms="fixed principal")*J105+(Bank_Terms="DSCR")*J93</f>
        <v>#VALUE!</v>
      </c>
      <c r="K79" s="122" t="e">
        <f aca="false">(Bank_Terms="amortization")*K117+(Bank_Terms="fixed principal")*K105+(Bank_Terms="DSCR")*K93</f>
        <v>#VALUE!</v>
      </c>
      <c r="L79" s="122" t="e">
        <f aca="false">(Bank_Terms="amortization")*L117+(Bank_Terms="fixed principal")*L105+(Bank_Terms="DSCR")*L93</f>
        <v>#VALUE!</v>
      </c>
      <c r="M79" s="122" t="e">
        <f aca="false">(Bank_Terms="amortization")*M117+(Bank_Terms="fixed principal")*M105+(Bank_Terms="DSCR")*M93</f>
        <v>#VALUE!</v>
      </c>
      <c r="N79" s="122" t="e">
        <f aca="false">(Bank_Terms="amortization")*N117+(Bank_Terms="fixed principal")*N105+(Bank_Terms="DSCR")*N93</f>
        <v>#VALUE!</v>
      </c>
      <c r="O79" s="122" t="e">
        <f aca="false">(Bank_Terms="amortization")*O117+(Bank_Terms="fixed principal")*O105+(Bank_Terms="DSCR")*O93</f>
        <v>#VALUE!</v>
      </c>
      <c r="P79" s="122" t="e">
        <f aca="false">(Bank_Terms="amortization")*P117+(Bank_Terms="fixed principal")*P105+(Bank_Terms="DSCR")*P93</f>
        <v>#VALUE!</v>
      </c>
      <c r="Q79" s="122" t="e">
        <f aca="false">(Bank_Terms="amortization")*Q117+(Bank_Terms="fixed principal")*Q105+(Bank_Terms="DSCR")*Q93</f>
        <v>#VALUE!</v>
      </c>
      <c r="R79" s="122" t="e">
        <f aca="false">(Bank_Terms="amortization")*R117+(Bank_Terms="fixed principal")*R105+(Bank_Terms="DSCR")*R93</f>
        <v>#VALUE!</v>
      </c>
      <c r="S79" s="122" t="e">
        <f aca="false">(Bank_Terms="amortization")*S117+(Bank_Terms="fixed principal")*S105+(Bank_Terms="DSCR")*S93</f>
        <v>#VALUE!</v>
      </c>
      <c r="T79" s="122" t="e">
        <f aca="false">(Bank_Terms="amortization")*T117+(Bank_Terms="fixed principal")*T105+(Bank_Terms="DSCR")*T93</f>
        <v>#VALUE!</v>
      </c>
      <c r="U79" s="122" t="e">
        <f aca="false">(Bank_Terms="amortization")*U117+(Bank_Terms="fixed principal")*U105+(Bank_Terms="DSCR")*U93</f>
        <v>#VALUE!</v>
      </c>
      <c r="V79" s="122" t="e">
        <f aca="false">(Bank_Terms="amortization")*V117+(Bank_Terms="fixed principal")*V105+(Bank_Terms="DSCR")*V93</f>
        <v>#VALUE!</v>
      </c>
      <c r="W79" s="122" t="e">
        <f aca="false">(Bank_Terms="amortization")*W117+(Bank_Terms="fixed principal")*W105+(Bank_Terms="DSCR")*W93</f>
        <v>#VALUE!</v>
      </c>
      <c r="X79" s="122" t="e">
        <f aca="false">(Bank_Terms="amortization")*X117+(Bank_Terms="fixed principal")*X105+(Bank_Terms="DSCR")*X93</f>
        <v>#VALUE!</v>
      </c>
      <c r="Y79" s="122" t="e">
        <f aca="false">(Bank_Terms="amortization")*Y117+(Bank_Terms="fixed principal")*Y105+(Bank_Terms="DSCR")*Y93</f>
        <v>#VALUE!</v>
      </c>
      <c r="Z79" s="122" t="e">
        <f aca="false">(Bank_Terms="amortization")*Z117+(Bank_Terms="fixed principal")*Z105+(Bank_Terms="DSCR")*Z93</f>
        <v>#VALUE!</v>
      </c>
      <c r="AA79" s="122" t="e">
        <f aca="false">(Bank_Terms="amortization")*AA117+(Bank_Terms="fixed principal")*AA105+(Bank_Terms="DSCR")*AA93</f>
        <v>#VALUE!</v>
      </c>
      <c r="AB79" s="122" t="e">
        <f aca="false">(Bank_Terms="amortization")*AB117+(Bank_Terms="fixed principal")*AB105+(Bank_Terms="DSCR")*AB93</f>
        <v>#VALUE!</v>
      </c>
      <c r="AC79" s="122" t="e">
        <f aca="false">(Bank_Terms="amortization")*AC117+(Bank_Terms="fixed principal")*AC105+(Bank_Terms="DSCR")*AC93</f>
        <v>#VALUE!</v>
      </c>
      <c r="AD79" s="122" t="e">
        <f aca="false">(Bank_Terms="amortization")*AD117+(Bank_Terms="fixed principal")*AD105+(Bank_Terms="DSCR")*AD93</f>
        <v>#VALUE!</v>
      </c>
      <c r="AE79" s="122" t="e">
        <f aca="false">(Bank_Terms="amortization")*AE117+(Bank_Terms="fixed principal")*AE105+(Bank_Terms="DSCR")*AE93</f>
        <v>#VALUE!</v>
      </c>
      <c r="AF79" s="122" t="e">
        <f aca="false">(Bank_Terms="amortization")*AF117+(Bank_Terms="fixed principal")*AF105+(Bank_Terms="DSCR")*AF93</f>
        <v>#VALUE!</v>
      </c>
      <c r="AG79" s="122" t="e">
        <f aca="false">(Bank_Terms="amortization")*AG117+(Bank_Terms="fixed principal")*AG105+(Bank_Terms="DSCR")*AG93</f>
        <v>#VALUE!</v>
      </c>
      <c r="AH79" s="122" t="e">
        <f aca="false">(Bank_Terms="amortization")*AH117+(Bank_Terms="fixed principal")*AH105+(Bank_Terms="DSCR")*AH93</f>
        <v>#VALUE!</v>
      </c>
      <c r="AI79" s="122" t="e">
        <f aca="false">(Bank_Terms="amortization")*AI117+(Bank_Terms="fixed principal")*AI105+(Bank_Terms="DSCR")*AI93</f>
        <v>#VALUE!</v>
      </c>
      <c r="AJ79" s="122" t="e">
        <f aca="false">(Bank_Terms="amortization")*AJ117+(Bank_Terms="fixed principal")*AJ105+(Bank_Terms="DSCR")*AJ93</f>
        <v>#VALUE!</v>
      </c>
      <c r="AK79" s="122" t="e">
        <f aca="false">(Bank_Terms="amortization")*AK117+(Bank_Terms="fixed principal")*AK105+(Bank_Terms="DSCR")*AK93</f>
        <v>#VALUE!</v>
      </c>
      <c r="AL79" s="122" t="e">
        <f aca="false">(Bank_Terms="amortization")*AL117+(Bank_Terms="fixed principal")*AL105+(Bank_Terms="DSCR")*AL93</f>
        <v>#VALUE!</v>
      </c>
    </row>
    <row r="80" customFormat="false" ht="15" hidden="false" customHeight="false" outlineLevel="0" collapsed="false">
      <c r="C80" s="0" t="s">
        <v>343</v>
      </c>
      <c r="D80" s="154"/>
      <c r="E80" s="104" t="s">
        <v>72</v>
      </c>
      <c r="F80" s="154"/>
      <c r="G80" s="131"/>
      <c r="H80" s="0"/>
      <c r="I80" s="122" t="n">
        <f aca="false">(Bank_Terms="amortization")*I118+(Bank_Terms="fixed principal")*I106+(Bank_Terms="DSCR")*I94</f>
        <v>709350.521718102</v>
      </c>
      <c r="J80" s="122" t="e">
        <f aca="false">(Bank_Terms="amortization")*J118+(Bank_Terms="fixed principal")*J106+(Bank_Terms="DSCR")*J94</f>
        <v>#VALUE!</v>
      </c>
      <c r="K80" s="122" t="e">
        <f aca="false">(Bank_Terms="amortization")*K118+(Bank_Terms="fixed principal")*K106+(Bank_Terms="DSCR")*K94</f>
        <v>#VALUE!</v>
      </c>
      <c r="L80" s="122" t="e">
        <f aca="false">(Bank_Terms="amortization")*L118+(Bank_Terms="fixed principal")*L106+(Bank_Terms="DSCR")*L94</f>
        <v>#VALUE!</v>
      </c>
      <c r="M80" s="122" t="e">
        <f aca="false">(Bank_Terms="amortization")*M118+(Bank_Terms="fixed principal")*M106+(Bank_Terms="DSCR")*M94</f>
        <v>#VALUE!</v>
      </c>
      <c r="N80" s="122" t="e">
        <f aca="false">(Bank_Terms="amortization")*N118+(Bank_Terms="fixed principal")*N106+(Bank_Terms="DSCR")*N94</f>
        <v>#VALUE!</v>
      </c>
      <c r="O80" s="122" t="e">
        <f aca="false">(Bank_Terms="amortization")*O118+(Bank_Terms="fixed principal")*O106+(Bank_Terms="DSCR")*O94</f>
        <v>#VALUE!</v>
      </c>
      <c r="P80" s="122" t="e">
        <f aca="false">(Bank_Terms="amortization")*P118+(Bank_Terms="fixed principal")*P106+(Bank_Terms="DSCR")*P94</f>
        <v>#VALUE!</v>
      </c>
      <c r="Q80" s="122" t="e">
        <f aca="false">(Bank_Terms="amortization")*Q118+(Bank_Terms="fixed principal")*Q106+(Bank_Terms="DSCR")*Q94</f>
        <v>#VALUE!</v>
      </c>
      <c r="R80" s="122" t="e">
        <f aca="false">(Bank_Terms="amortization")*R118+(Bank_Terms="fixed principal")*R106+(Bank_Terms="DSCR")*R94</f>
        <v>#VALUE!</v>
      </c>
      <c r="S80" s="122" t="e">
        <f aca="false">(Bank_Terms="amortization")*S118+(Bank_Terms="fixed principal")*S106+(Bank_Terms="DSCR")*S94</f>
        <v>#VALUE!</v>
      </c>
      <c r="T80" s="122" t="e">
        <f aca="false">(Bank_Terms="amortization")*T118+(Bank_Terms="fixed principal")*T106+(Bank_Terms="DSCR")*T94</f>
        <v>#VALUE!</v>
      </c>
      <c r="U80" s="122" t="e">
        <f aca="false">(Bank_Terms="amortization")*U118+(Bank_Terms="fixed principal")*U106+(Bank_Terms="DSCR")*U94</f>
        <v>#VALUE!</v>
      </c>
      <c r="V80" s="122" t="e">
        <f aca="false">(Bank_Terms="amortization")*V118+(Bank_Terms="fixed principal")*V106+(Bank_Terms="DSCR")*V94</f>
        <v>#VALUE!</v>
      </c>
      <c r="W80" s="122" t="e">
        <f aca="false">(Bank_Terms="amortization")*W118+(Bank_Terms="fixed principal")*W106+(Bank_Terms="DSCR")*W94</f>
        <v>#VALUE!</v>
      </c>
      <c r="X80" s="122" t="e">
        <f aca="false">(Bank_Terms="amortization")*X118+(Bank_Terms="fixed principal")*X106+(Bank_Terms="DSCR")*X94</f>
        <v>#VALUE!</v>
      </c>
      <c r="Y80" s="122" t="e">
        <f aca="false">(Bank_Terms="amortization")*Y118+(Bank_Terms="fixed principal")*Y106+(Bank_Terms="DSCR")*Y94</f>
        <v>#VALUE!</v>
      </c>
      <c r="Z80" s="122" t="e">
        <f aca="false">(Bank_Terms="amortization")*Z118+(Bank_Terms="fixed principal")*Z106+(Bank_Terms="DSCR")*Z94</f>
        <v>#VALUE!</v>
      </c>
      <c r="AA80" s="122" t="e">
        <f aca="false">(Bank_Terms="amortization")*AA118+(Bank_Terms="fixed principal")*AA106+(Bank_Terms="DSCR")*AA94</f>
        <v>#VALUE!</v>
      </c>
      <c r="AB80" s="122" t="e">
        <f aca="false">(Bank_Terms="amortization")*AB118+(Bank_Terms="fixed principal")*AB106+(Bank_Terms="DSCR")*AB94</f>
        <v>#VALUE!</v>
      </c>
      <c r="AC80" s="122" t="e">
        <f aca="false">(Bank_Terms="amortization")*AC118+(Bank_Terms="fixed principal")*AC106+(Bank_Terms="DSCR")*AC94</f>
        <v>#VALUE!</v>
      </c>
      <c r="AD80" s="122" t="e">
        <f aca="false">(Bank_Terms="amortization")*AD118+(Bank_Terms="fixed principal")*AD106+(Bank_Terms="DSCR")*AD94</f>
        <v>#VALUE!</v>
      </c>
      <c r="AE80" s="122" t="e">
        <f aca="false">(Bank_Terms="amortization")*AE118+(Bank_Terms="fixed principal")*AE106+(Bank_Terms="DSCR")*AE94</f>
        <v>#VALUE!</v>
      </c>
      <c r="AF80" s="122" t="e">
        <f aca="false">(Bank_Terms="amortization")*AF118+(Bank_Terms="fixed principal")*AF106+(Bank_Terms="DSCR")*AF94</f>
        <v>#VALUE!</v>
      </c>
      <c r="AG80" s="122" t="e">
        <f aca="false">(Bank_Terms="amortization")*AG118+(Bank_Terms="fixed principal")*AG106+(Bank_Terms="DSCR")*AG94</f>
        <v>#VALUE!</v>
      </c>
      <c r="AH80" s="122" t="e">
        <f aca="false">(Bank_Terms="amortization")*AH118+(Bank_Terms="fixed principal")*AH106+(Bank_Terms="DSCR")*AH94</f>
        <v>#VALUE!</v>
      </c>
      <c r="AI80" s="122" t="e">
        <f aca="false">(Bank_Terms="amortization")*AI118+(Bank_Terms="fixed principal")*AI106+(Bank_Terms="DSCR")*AI94</f>
        <v>#VALUE!</v>
      </c>
      <c r="AJ80" s="122" t="e">
        <f aca="false">(Bank_Terms="amortization")*AJ118+(Bank_Terms="fixed principal")*AJ106+(Bank_Terms="DSCR")*AJ94</f>
        <v>#VALUE!</v>
      </c>
      <c r="AK80" s="122" t="e">
        <f aca="false">(Bank_Terms="amortization")*AK118+(Bank_Terms="fixed principal")*AK106+(Bank_Terms="DSCR")*AK94</f>
        <v>#VALUE!</v>
      </c>
      <c r="AL80" s="122" t="e">
        <f aca="false">(Bank_Terms="amortization")*AL118+(Bank_Terms="fixed principal")*AL106+(Bank_Terms="DSCR")*AL94</f>
        <v>#VALUE!</v>
      </c>
    </row>
    <row r="81" customFormat="false" ht="15" hidden="false" customHeight="false" outlineLevel="0" collapsed="false">
      <c r="C81" s="0" t="s">
        <v>344</v>
      </c>
      <c r="D81" s="154"/>
      <c r="E81" s="104" t="s">
        <v>72</v>
      </c>
      <c r="F81" s="154"/>
      <c r="G81" s="131"/>
      <c r="H81" s="0"/>
      <c r="I81" s="122" t="e">
        <f aca="false">(Bank_Terms="amortization")*I119+(Bank_Terms="fixed principal")*I107+(Bank_Terms="DSCR")*I95</f>
        <v>#VALUE!</v>
      </c>
      <c r="J81" s="122" t="e">
        <f aca="false">(Bank_Terms="amortization")*J119+(Bank_Terms="fixed principal")*J107+(Bank_Terms="DSCR")*J95</f>
        <v>#VALUE!</v>
      </c>
      <c r="K81" s="122" t="e">
        <f aca="false">(Bank_Terms="amortization")*K119+(Bank_Terms="fixed principal")*K107+(Bank_Terms="DSCR")*K95</f>
        <v>#VALUE!</v>
      </c>
      <c r="L81" s="122" t="e">
        <f aca="false">(Bank_Terms="amortization")*L119+(Bank_Terms="fixed principal")*L107+(Bank_Terms="DSCR")*L95</f>
        <v>#VALUE!</v>
      </c>
      <c r="M81" s="122" t="e">
        <f aca="false">(Bank_Terms="amortization")*M119+(Bank_Terms="fixed principal")*M107+(Bank_Terms="DSCR")*M95</f>
        <v>#VALUE!</v>
      </c>
      <c r="N81" s="122" t="e">
        <f aca="false">(Bank_Terms="amortization")*N119+(Bank_Terms="fixed principal")*N107+(Bank_Terms="DSCR")*N95</f>
        <v>#VALUE!</v>
      </c>
      <c r="O81" s="122" t="e">
        <f aca="false">(Bank_Terms="amortization")*O119+(Bank_Terms="fixed principal")*O107+(Bank_Terms="DSCR")*O95</f>
        <v>#VALUE!</v>
      </c>
      <c r="P81" s="122" t="e">
        <f aca="false">(Bank_Terms="amortization")*P119+(Bank_Terms="fixed principal")*P107+(Bank_Terms="DSCR")*P95</f>
        <v>#VALUE!</v>
      </c>
      <c r="Q81" s="122" t="e">
        <f aca="false">(Bank_Terms="amortization")*Q119+(Bank_Terms="fixed principal")*Q107+(Bank_Terms="DSCR")*Q95</f>
        <v>#VALUE!</v>
      </c>
      <c r="R81" s="122" t="e">
        <f aca="false">(Bank_Terms="amortization")*R119+(Bank_Terms="fixed principal")*R107+(Bank_Terms="DSCR")*R95</f>
        <v>#VALUE!</v>
      </c>
      <c r="S81" s="122" t="e">
        <f aca="false">(Bank_Terms="amortization")*S119+(Bank_Terms="fixed principal")*S107+(Bank_Terms="DSCR")*S95</f>
        <v>#VALUE!</v>
      </c>
      <c r="T81" s="122" t="e">
        <f aca="false">(Bank_Terms="amortization")*T119+(Bank_Terms="fixed principal")*T107+(Bank_Terms="DSCR")*T95</f>
        <v>#VALUE!</v>
      </c>
      <c r="U81" s="122" t="e">
        <f aca="false">(Bank_Terms="amortization")*U119+(Bank_Terms="fixed principal")*U107+(Bank_Terms="DSCR")*U95</f>
        <v>#VALUE!</v>
      </c>
      <c r="V81" s="122" t="e">
        <f aca="false">(Bank_Terms="amortization")*V119+(Bank_Terms="fixed principal")*V107+(Bank_Terms="DSCR")*V95</f>
        <v>#VALUE!</v>
      </c>
      <c r="W81" s="122" t="e">
        <f aca="false">(Bank_Terms="amortization")*W119+(Bank_Terms="fixed principal")*W107+(Bank_Terms="DSCR")*W95</f>
        <v>#VALUE!</v>
      </c>
      <c r="X81" s="122" t="e">
        <f aca="false">(Bank_Terms="amortization")*X119+(Bank_Terms="fixed principal")*X107+(Bank_Terms="DSCR")*X95</f>
        <v>#VALUE!</v>
      </c>
      <c r="Y81" s="122" t="e">
        <f aca="false">(Bank_Terms="amortization")*Y119+(Bank_Terms="fixed principal")*Y107+(Bank_Terms="DSCR")*Y95</f>
        <v>#VALUE!</v>
      </c>
      <c r="Z81" s="122" t="e">
        <f aca="false">(Bank_Terms="amortization")*Z119+(Bank_Terms="fixed principal")*Z107+(Bank_Terms="DSCR")*Z95</f>
        <v>#VALUE!</v>
      </c>
      <c r="AA81" s="122" t="e">
        <f aca="false">(Bank_Terms="amortization")*AA119+(Bank_Terms="fixed principal")*AA107+(Bank_Terms="DSCR")*AA95</f>
        <v>#VALUE!</v>
      </c>
      <c r="AB81" s="122" t="e">
        <f aca="false">(Bank_Terms="amortization")*AB119+(Bank_Terms="fixed principal")*AB107+(Bank_Terms="DSCR")*AB95</f>
        <v>#VALUE!</v>
      </c>
      <c r="AC81" s="122" t="e">
        <f aca="false">(Bank_Terms="amortization")*AC119+(Bank_Terms="fixed principal")*AC107+(Bank_Terms="DSCR")*AC95</f>
        <v>#VALUE!</v>
      </c>
      <c r="AD81" s="122" t="e">
        <f aca="false">(Bank_Terms="amortization")*AD119+(Bank_Terms="fixed principal")*AD107+(Bank_Terms="DSCR")*AD95</f>
        <v>#VALUE!</v>
      </c>
      <c r="AE81" s="122" t="e">
        <f aca="false">(Bank_Terms="amortization")*AE119+(Bank_Terms="fixed principal")*AE107+(Bank_Terms="DSCR")*AE95</f>
        <v>#VALUE!</v>
      </c>
      <c r="AF81" s="122" t="e">
        <f aca="false">(Bank_Terms="amortization")*AF119+(Bank_Terms="fixed principal")*AF107+(Bank_Terms="DSCR")*AF95</f>
        <v>#VALUE!</v>
      </c>
      <c r="AG81" s="122" t="e">
        <f aca="false">(Bank_Terms="amortization")*AG119+(Bank_Terms="fixed principal")*AG107+(Bank_Terms="DSCR")*AG95</f>
        <v>#VALUE!</v>
      </c>
      <c r="AH81" s="122" t="e">
        <f aca="false">(Bank_Terms="amortization")*AH119+(Bank_Terms="fixed principal")*AH107+(Bank_Terms="DSCR")*AH95</f>
        <v>#VALUE!</v>
      </c>
      <c r="AI81" s="122" t="e">
        <f aca="false">(Bank_Terms="amortization")*AI119+(Bank_Terms="fixed principal")*AI107+(Bank_Terms="DSCR")*AI95</f>
        <v>#VALUE!</v>
      </c>
      <c r="AJ81" s="122" t="e">
        <f aca="false">(Bank_Terms="amortization")*AJ119+(Bank_Terms="fixed principal")*AJ107+(Bank_Terms="DSCR")*AJ95</f>
        <v>#VALUE!</v>
      </c>
      <c r="AK81" s="122" t="e">
        <f aca="false">(Bank_Terms="amortization")*AK119+(Bank_Terms="fixed principal")*AK107+(Bank_Terms="DSCR")*AK95</f>
        <v>#VALUE!</v>
      </c>
      <c r="AL81" s="122" t="e">
        <f aca="false">(Bank_Terms="amortization")*AL119+(Bank_Terms="fixed principal")*AL107+(Bank_Terms="DSCR")*AL95</f>
        <v>#VALUE!</v>
      </c>
    </row>
    <row r="82" customFormat="false" ht="15" hidden="false" customHeight="false" outlineLevel="0" collapsed="false">
      <c r="C82" s="117" t="s">
        <v>336</v>
      </c>
      <c r="D82" s="117"/>
      <c r="E82" s="118" t="s">
        <v>72</v>
      </c>
      <c r="F82" s="117"/>
      <c r="G82" s="123"/>
      <c r="H82" s="119"/>
      <c r="I82" s="121" t="e">
        <f aca="false">SUM(I78:I81)</f>
        <v>#VALUE!</v>
      </c>
      <c r="J82" s="121" t="e">
        <f aca="false">SUM(J78:J81)</f>
        <v>#VALUE!</v>
      </c>
      <c r="K82" s="121" t="e">
        <f aca="false">SUM(K78:K81)</f>
        <v>#VALUE!</v>
      </c>
      <c r="L82" s="121" t="e">
        <f aca="false">SUM(L78:L81)</f>
        <v>#VALUE!</v>
      </c>
      <c r="M82" s="121" t="e">
        <f aca="false">SUM(M78:M81)</f>
        <v>#VALUE!</v>
      </c>
      <c r="N82" s="121" t="e">
        <f aca="false">SUM(N78:N81)</f>
        <v>#VALUE!</v>
      </c>
      <c r="O82" s="121" t="e">
        <f aca="false">SUM(O78:O81)</f>
        <v>#VALUE!</v>
      </c>
      <c r="P82" s="121" t="e">
        <f aca="false">SUM(P78:P81)</f>
        <v>#VALUE!</v>
      </c>
      <c r="Q82" s="121" t="e">
        <f aca="false">SUM(Q78:Q81)</f>
        <v>#VALUE!</v>
      </c>
      <c r="R82" s="121" t="e">
        <f aca="false">SUM(R78:R81)</f>
        <v>#VALUE!</v>
      </c>
      <c r="S82" s="121" t="e">
        <f aca="false">SUM(S78:S81)</f>
        <v>#VALUE!</v>
      </c>
      <c r="T82" s="121" t="e">
        <f aca="false">SUM(T78:T81)</f>
        <v>#VALUE!</v>
      </c>
      <c r="U82" s="121" t="e">
        <f aca="false">SUM(U78:U81)</f>
        <v>#VALUE!</v>
      </c>
      <c r="V82" s="121" t="e">
        <f aca="false">SUM(V78:V81)</f>
        <v>#VALUE!</v>
      </c>
      <c r="W82" s="121" t="e">
        <f aca="false">SUM(W78:W81)</f>
        <v>#VALUE!</v>
      </c>
      <c r="X82" s="121" t="e">
        <f aca="false">SUM(X78:X81)</f>
        <v>#VALUE!</v>
      </c>
      <c r="Y82" s="121" t="e">
        <f aca="false">SUM(Y78:Y81)</f>
        <v>#VALUE!</v>
      </c>
      <c r="Z82" s="121" t="e">
        <f aca="false">SUM(Z78:Z81)</f>
        <v>#VALUE!</v>
      </c>
      <c r="AA82" s="121" t="e">
        <f aca="false">SUM(AA78:AA81)</f>
        <v>#VALUE!</v>
      </c>
      <c r="AB82" s="121" t="e">
        <f aca="false">SUM(AB78:AB81)</f>
        <v>#VALUE!</v>
      </c>
      <c r="AC82" s="121" t="e">
        <f aca="false">SUM(AC78:AC81)</f>
        <v>#VALUE!</v>
      </c>
      <c r="AD82" s="121" t="e">
        <f aca="false">SUM(AD78:AD81)</f>
        <v>#VALUE!</v>
      </c>
      <c r="AE82" s="121" t="e">
        <f aca="false">SUM(AE78:AE81)</f>
        <v>#VALUE!</v>
      </c>
      <c r="AF82" s="121" t="e">
        <f aca="false">SUM(AF78:AF81)</f>
        <v>#VALUE!</v>
      </c>
      <c r="AG82" s="121" t="e">
        <f aca="false">SUM(AG78:AG81)</f>
        <v>#VALUE!</v>
      </c>
      <c r="AH82" s="121" t="e">
        <f aca="false">SUM(AH78:AH81)</f>
        <v>#VALUE!</v>
      </c>
      <c r="AI82" s="121" t="e">
        <f aca="false">SUM(AI78:AI81)</f>
        <v>#VALUE!</v>
      </c>
      <c r="AJ82" s="121" t="e">
        <f aca="false">SUM(AJ78:AJ81)</f>
        <v>#VALUE!</v>
      </c>
      <c r="AK82" s="121" t="e">
        <f aca="false">SUM(AK78:AK81)</f>
        <v>#VALUE!</v>
      </c>
      <c r="AL82" s="121" t="e">
        <f aca="false">SUM(AL78:AL81)</f>
        <v>#VALUE!</v>
      </c>
    </row>
    <row r="83" customFormat="false" ht="15" hidden="false" customHeight="false" outlineLevel="0" collapsed="false">
      <c r="C83" s="154"/>
      <c r="D83" s="154"/>
      <c r="E83" s="155"/>
      <c r="F83" s="154"/>
      <c r="G83" s="131"/>
      <c r="H83" s="0"/>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row>
    <row r="84" customFormat="false" ht="15" hidden="false" customHeight="false" outlineLevel="0" collapsed="false">
      <c r="C84" s="0" t="s">
        <v>345</v>
      </c>
      <c r="E84" s="104" t="s">
        <v>72</v>
      </c>
      <c r="G84" s="65" t="e">
        <f aca="false">(Bank_Terms="amortization")*-PMT(Bank_Rate,Bank_Tenor,Bank_Principal)+(Bank_Terms="fixed principal")*$G$111+(Bank_Terms="DSCR")*$G$99</f>
        <v>#VALUE!</v>
      </c>
      <c r="H84" s="0"/>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row>
    <row r="85" customFormat="false" ht="15" hidden="false" customHeight="false" outlineLevel="0" collapsed="false">
      <c r="C85" s="0" t="s">
        <v>346</v>
      </c>
      <c r="E85" s="104" t="s">
        <v>72</v>
      </c>
      <c r="G85" s="65" t="e">
        <f aca="false">G84*DSRA_Provision/12</f>
        <v>#VALUE!</v>
      </c>
      <c r="H85" s="0"/>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row>
    <row r="86" customFormat="false" ht="15" hidden="false" customHeight="false" outlineLevel="0" collapsed="false">
      <c r="E86" s="0"/>
      <c r="G86" s="65" t="e">
        <f aca="false">Initial_DSRA_Value-Initial_DSRA</f>
        <v>#VALUE!</v>
      </c>
      <c r="H86" s="0"/>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row>
    <row r="87" customFormat="false" ht="15" hidden="false" customHeight="false" outlineLevel="0" collapsed="false">
      <c r="E87" s="0"/>
      <c r="G87" s="65"/>
      <c r="H87" s="0"/>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row>
    <row r="88" customFormat="false" ht="15" hidden="false" customHeight="false" outlineLevel="1" collapsed="false">
      <c r="B88" s="2" t="e">
        <f aca="false">(MAX($A$7:B75)+0.1)</f>
        <v>#VALUE!</v>
      </c>
      <c r="C88" s="2" t="s">
        <v>347</v>
      </c>
      <c r="D88" s="154"/>
      <c r="E88" s="155"/>
      <c r="G88" s="65"/>
      <c r="H88" s="0"/>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row>
    <row r="89" customFormat="false" ht="15" hidden="false" customHeight="false" outlineLevel="1" collapsed="false">
      <c r="E89" s="0"/>
      <c r="G89" s="65"/>
      <c r="H89" s="0"/>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row>
    <row r="90" customFormat="false" ht="15" hidden="false" customHeight="false" outlineLevel="1" collapsed="false">
      <c r="C90" s="0" t="str">
        <f aca="false">'Cash Flow'!C78</f>
        <v>Cash available for senior debt service</v>
      </c>
      <c r="E90" s="104" t="s">
        <v>72</v>
      </c>
      <c r="G90" s="65"/>
      <c r="H90" s="0"/>
      <c r="I90" s="122" t="e">
        <f aca="false">'Cash Flow'!I78</f>
        <v>#VALUE!</v>
      </c>
      <c r="J90" s="122" t="e">
        <f aca="false">'Cash Flow'!J78</f>
        <v>#VALUE!</v>
      </c>
      <c r="K90" s="122" t="e">
        <f aca="false">'Cash Flow'!K78</f>
        <v>#VALUE!</v>
      </c>
      <c r="L90" s="122" t="e">
        <f aca="false">'Cash Flow'!L78</f>
        <v>#VALUE!</v>
      </c>
      <c r="M90" s="122" t="e">
        <f aca="false">'Cash Flow'!M78</f>
        <v>#VALUE!</v>
      </c>
      <c r="N90" s="122" t="e">
        <f aca="false">'Cash Flow'!N78</f>
        <v>#VALUE!</v>
      </c>
      <c r="O90" s="122" t="e">
        <f aca="false">'Cash Flow'!O78</f>
        <v>#VALUE!</v>
      </c>
      <c r="P90" s="122" t="e">
        <f aca="false">'Cash Flow'!P78</f>
        <v>#VALUE!</v>
      </c>
      <c r="Q90" s="122" t="e">
        <f aca="false">'Cash Flow'!Q78</f>
        <v>#VALUE!</v>
      </c>
      <c r="R90" s="122" t="e">
        <f aca="false">'Cash Flow'!R78</f>
        <v>#VALUE!</v>
      </c>
      <c r="S90" s="122" t="e">
        <f aca="false">'Cash Flow'!S78</f>
        <v>#VALUE!</v>
      </c>
      <c r="T90" s="122" t="e">
        <f aca="false">'Cash Flow'!T78</f>
        <v>#VALUE!</v>
      </c>
      <c r="U90" s="122" t="e">
        <f aca="false">'Cash Flow'!U78</f>
        <v>#VALUE!</v>
      </c>
      <c r="V90" s="122" t="e">
        <f aca="false">'Cash Flow'!V78</f>
        <v>#VALUE!</v>
      </c>
      <c r="W90" s="122" t="e">
        <f aca="false">'Cash Flow'!W78</f>
        <v>#VALUE!</v>
      </c>
      <c r="X90" s="122" t="e">
        <f aca="false">'Cash Flow'!X78</f>
        <v>#VALUE!</v>
      </c>
      <c r="Y90" s="122" t="e">
        <f aca="false">'Cash Flow'!Y78</f>
        <v>#VALUE!</v>
      </c>
      <c r="Z90" s="122" t="e">
        <f aca="false">'Cash Flow'!Z78</f>
        <v>#VALUE!</v>
      </c>
      <c r="AA90" s="122" t="e">
        <f aca="false">'Cash Flow'!AA78</f>
        <v>#VALUE!</v>
      </c>
      <c r="AB90" s="122" t="e">
        <f aca="false">'Cash Flow'!AB78</f>
        <v>#VALUE!</v>
      </c>
      <c r="AC90" s="122" t="e">
        <f aca="false">'Cash Flow'!AC78</f>
        <v>#VALUE!</v>
      </c>
      <c r="AD90" s="122" t="e">
        <f aca="false">'Cash Flow'!AD78</f>
        <v>#VALUE!</v>
      </c>
      <c r="AE90" s="122" t="e">
        <f aca="false">'Cash Flow'!AE78</f>
        <v>#VALUE!</v>
      </c>
      <c r="AF90" s="122" t="e">
        <f aca="false">'Cash Flow'!AF78</f>
        <v>#VALUE!</v>
      </c>
      <c r="AG90" s="122" t="e">
        <f aca="false">'Cash Flow'!AG78</f>
        <v>#VALUE!</v>
      </c>
      <c r="AH90" s="122" t="e">
        <f aca="false">'Cash Flow'!AH78</f>
        <v>#VALUE!</v>
      </c>
      <c r="AI90" s="122" t="e">
        <f aca="false">'Cash Flow'!AI78</f>
        <v>#VALUE!</v>
      </c>
      <c r="AJ90" s="122" t="e">
        <f aca="false">'Cash Flow'!AJ78</f>
        <v>#VALUE!</v>
      </c>
      <c r="AK90" s="122" t="e">
        <f aca="false">'Cash Flow'!AK78</f>
        <v>#VALUE!</v>
      </c>
      <c r="AL90" s="122" t="e">
        <f aca="false">'Cash Flow'!AL78</f>
        <v>#VALUE!</v>
      </c>
    </row>
    <row r="91" customFormat="false" ht="15" hidden="false" customHeight="false" outlineLevel="1" collapsed="false">
      <c r="E91" s="0"/>
      <c r="G91" s="65"/>
      <c r="H91" s="0"/>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row>
    <row r="92" customFormat="false" ht="15" hidden="false" customHeight="false" outlineLevel="1" collapsed="false">
      <c r="C92" s="0" t="s">
        <v>327</v>
      </c>
      <c r="D92" s="154"/>
      <c r="E92" s="104" t="s">
        <v>72</v>
      </c>
      <c r="G92" s="65"/>
      <c r="H92" s="0"/>
      <c r="I92" s="122" t="n">
        <f aca="false">H96</f>
        <v>0</v>
      </c>
      <c r="J92" s="122" t="e">
        <f aca="false">I96</f>
        <v>#VALUE!</v>
      </c>
      <c r="K92" s="122" t="e">
        <f aca="false">J96</f>
        <v>#VALUE!</v>
      </c>
      <c r="L92" s="122" t="e">
        <f aca="false">K96</f>
        <v>#VALUE!</v>
      </c>
      <c r="M92" s="122" t="e">
        <f aca="false">L96</f>
        <v>#VALUE!</v>
      </c>
      <c r="N92" s="122" t="e">
        <f aca="false">M96</f>
        <v>#VALUE!</v>
      </c>
      <c r="O92" s="122" t="e">
        <f aca="false">N96</f>
        <v>#VALUE!</v>
      </c>
      <c r="P92" s="122" t="e">
        <f aca="false">O96</f>
        <v>#VALUE!</v>
      </c>
      <c r="Q92" s="122" t="e">
        <f aca="false">P96</f>
        <v>#VALUE!</v>
      </c>
      <c r="R92" s="122" t="e">
        <f aca="false">Q96</f>
        <v>#VALUE!</v>
      </c>
      <c r="S92" s="122" t="e">
        <f aca="false">R96</f>
        <v>#VALUE!</v>
      </c>
      <c r="T92" s="122" t="e">
        <f aca="false">S96</f>
        <v>#VALUE!</v>
      </c>
      <c r="U92" s="122" t="e">
        <f aca="false">T96</f>
        <v>#VALUE!</v>
      </c>
      <c r="V92" s="122" t="e">
        <f aca="false">U96</f>
        <v>#VALUE!</v>
      </c>
      <c r="W92" s="122" t="e">
        <f aca="false">V96</f>
        <v>#VALUE!</v>
      </c>
      <c r="X92" s="122" t="e">
        <f aca="false">W96</f>
        <v>#VALUE!</v>
      </c>
      <c r="Y92" s="122" t="e">
        <f aca="false">X96</f>
        <v>#VALUE!</v>
      </c>
      <c r="Z92" s="122" t="e">
        <f aca="false">Y96</f>
        <v>#VALUE!</v>
      </c>
      <c r="AA92" s="122" t="e">
        <f aca="false">Z96</f>
        <v>#VALUE!</v>
      </c>
      <c r="AB92" s="122" t="e">
        <f aca="false">AA96</f>
        <v>#VALUE!</v>
      </c>
      <c r="AC92" s="122" t="e">
        <f aca="false">AB96</f>
        <v>#VALUE!</v>
      </c>
      <c r="AD92" s="122" t="e">
        <f aca="false">AC96</f>
        <v>#VALUE!</v>
      </c>
      <c r="AE92" s="122" t="e">
        <f aca="false">AD96</f>
        <v>#VALUE!</v>
      </c>
      <c r="AF92" s="122" t="e">
        <f aca="false">AE96</f>
        <v>#VALUE!</v>
      </c>
      <c r="AG92" s="122" t="e">
        <f aca="false">AF96</f>
        <v>#VALUE!</v>
      </c>
      <c r="AH92" s="122" t="e">
        <f aca="false">AG96</f>
        <v>#VALUE!</v>
      </c>
      <c r="AI92" s="122" t="e">
        <f aca="false">AH96</f>
        <v>#VALUE!</v>
      </c>
      <c r="AJ92" s="122" t="e">
        <f aca="false">AI96</f>
        <v>#VALUE!</v>
      </c>
      <c r="AK92" s="122" t="e">
        <f aca="false">AJ96</f>
        <v>#VALUE!</v>
      </c>
      <c r="AL92" s="122" t="e">
        <f aca="false">AK96</f>
        <v>#VALUE!</v>
      </c>
    </row>
    <row r="93" customFormat="false" ht="15" hidden="false" customHeight="false" outlineLevel="1" collapsed="false">
      <c r="C93" s="0" t="s">
        <v>342</v>
      </c>
      <c r="D93" s="154"/>
      <c r="E93" s="104" t="s">
        <v>72</v>
      </c>
      <c r="G93" s="65"/>
      <c r="H93" s="0"/>
      <c r="I93" s="122" t="n">
        <f aca="false">SUM(I$60:I$66)*I$6</f>
        <v>18916013.9124827</v>
      </c>
      <c r="J93" s="122" t="e">
        <f aca="false">SUM(J$60:J$66)*J$6</f>
        <v>#VALUE!</v>
      </c>
      <c r="K93" s="122" t="e">
        <f aca="false">SUM(K$60:K$66)*K$6</f>
        <v>#VALUE!</v>
      </c>
      <c r="L93" s="122" t="e">
        <f aca="false">SUM(L$60:L$66)*L$6</f>
        <v>#VALUE!</v>
      </c>
      <c r="M93" s="122" t="e">
        <f aca="false">SUM(M$60:M$66)*M$6</f>
        <v>#VALUE!</v>
      </c>
      <c r="N93" s="122" t="e">
        <f aca="false">SUM(N$60:N$66)*N$6</f>
        <v>#VALUE!</v>
      </c>
      <c r="O93" s="122" t="e">
        <f aca="false">SUM(O$60:O$66)*O$6</f>
        <v>#VALUE!</v>
      </c>
      <c r="P93" s="122" t="e">
        <f aca="false">SUM(P$60:P$66)*P$6</f>
        <v>#VALUE!</v>
      </c>
      <c r="Q93" s="122" t="e">
        <f aca="false">SUM(Q$60:Q$66)*Q$6</f>
        <v>#VALUE!</v>
      </c>
      <c r="R93" s="122" t="e">
        <f aca="false">SUM(R$60:R$66)*R$6</f>
        <v>#VALUE!</v>
      </c>
      <c r="S93" s="122" t="e">
        <f aca="false">SUM(S$60:S$66)*S$6</f>
        <v>#VALUE!</v>
      </c>
      <c r="T93" s="122" t="e">
        <f aca="false">SUM(T$60:T$66)*T$6</f>
        <v>#VALUE!</v>
      </c>
      <c r="U93" s="122" t="e">
        <f aca="false">SUM(U$60:U$66)*U$6</f>
        <v>#VALUE!</v>
      </c>
      <c r="V93" s="122" t="e">
        <f aca="false">SUM(V$60:V$66)*V$6</f>
        <v>#VALUE!</v>
      </c>
      <c r="W93" s="122" t="e">
        <f aca="false">SUM(W$60:W$66)*W$6</f>
        <v>#VALUE!</v>
      </c>
      <c r="X93" s="122" t="e">
        <f aca="false">SUM(X$60:X$66)*X$6</f>
        <v>#VALUE!</v>
      </c>
      <c r="Y93" s="122" t="e">
        <f aca="false">SUM(Y$60:Y$66)*Y$6</f>
        <v>#VALUE!</v>
      </c>
      <c r="Z93" s="122" t="e">
        <f aca="false">SUM(Z$60:Z$66)*Z$6</f>
        <v>#VALUE!</v>
      </c>
      <c r="AA93" s="122" t="e">
        <f aca="false">SUM(AA$60:AA$66)*AA$6</f>
        <v>#VALUE!</v>
      </c>
      <c r="AB93" s="122" t="e">
        <f aca="false">SUM(AB$60:AB$66)*AB$6</f>
        <v>#VALUE!</v>
      </c>
      <c r="AC93" s="122" t="e">
        <f aca="false">SUM(AC$60:AC$66)*AC$6</f>
        <v>#VALUE!</v>
      </c>
      <c r="AD93" s="122" t="e">
        <f aca="false">SUM(AD$60:AD$66)*AD$6</f>
        <v>#VALUE!</v>
      </c>
      <c r="AE93" s="122" t="e">
        <f aca="false">SUM(AE$60:AE$66)*AE$6</f>
        <v>#VALUE!</v>
      </c>
      <c r="AF93" s="122" t="e">
        <f aca="false">SUM(AF$60:AF$66)*AF$6</f>
        <v>#VALUE!</v>
      </c>
      <c r="AG93" s="122" t="e">
        <f aca="false">SUM(AG$60:AG$66)*AG$6</f>
        <v>#VALUE!</v>
      </c>
      <c r="AH93" s="122" t="e">
        <f aca="false">SUM(AH$60:AH$66)*AH$6</f>
        <v>#VALUE!</v>
      </c>
      <c r="AI93" s="122" t="e">
        <f aca="false">SUM(AI$60:AI$66)*AI$6</f>
        <v>#VALUE!</v>
      </c>
      <c r="AJ93" s="122" t="e">
        <f aca="false">SUM(AJ$60:AJ$66)*AJ$6</f>
        <v>#VALUE!</v>
      </c>
      <c r="AK93" s="122" t="e">
        <f aca="false">SUM(AK$60:AK$66)*AK$6</f>
        <v>#VALUE!</v>
      </c>
      <c r="AL93" s="122" t="e">
        <f aca="false">SUM(AL$60:AL$66)*AL$6</f>
        <v>#VALUE!</v>
      </c>
    </row>
    <row r="94" customFormat="false" ht="15" hidden="false" customHeight="false" outlineLevel="1" collapsed="false">
      <c r="C94" s="0" t="s">
        <v>343</v>
      </c>
      <c r="D94" s="154"/>
      <c r="E94" s="104" t="s">
        <v>72</v>
      </c>
      <c r="G94" s="65"/>
      <c r="H94" s="0"/>
      <c r="I94" s="122" t="n">
        <f aca="false">SUM(I$67:I$68)*I$6</f>
        <v>709350.521718102</v>
      </c>
      <c r="J94" s="122" t="e">
        <f aca="false">SUM(J$67:J$68)*J$6</f>
        <v>#VALUE!</v>
      </c>
      <c r="K94" s="122" t="e">
        <f aca="false">SUM(K$67:K$68)*K$6</f>
        <v>#VALUE!</v>
      </c>
      <c r="L94" s="122" t="e">
        <f aca="false">SUM(L$67:L$68)*L$6</f>
        <v>#VALUE!</v>
      </c>
      <c r="M94" s="122" t="e">
        <f aca="false">SUM(M$67:M$68)*M$6</f>
        <v>#VALUE!</v>
      </c>
      <c r="N94" s="122" t="e">
        <f aca="false">SUM(N$67:N$68)*N$6</f>
        <v>#VALUE!</v>
      </c>
      <c r="O94" s="122" t="e">
        <f aca="false">SUM(O$67:O$68)*O$6</f>
        <v>#VALUE!</v>
      </c>
      <c r="P94" s="122" t="e">
        <f aca="false">SUM(P$67:P$68)*P$6</f>
        <v>#VALUE!</v>
      </c>
      <c r="Q94" s="122" t="e">
        <f aca="false">SUM(Q$67:Q$68)*Q$6</f>
        <v>#VALUE!</v>
      </c>
      <c r="R94" s="122" t="e">
        <f aca="false">SUM(R$67:R$68)*R$6</f>
        <v>#VALUE!</v>
      </c>
      <c r="S94" s="122" t="e">
        <f aca="false">SUM(S$67:S$68)*S$6</f>
        <v>#VALUE!</v>
      </c>
      <c r="T94" s="122" t="e">
        <f aca="false">SUM(T$67:T$68)*T$6</f>
        <v>#VALUE!</v>
      </c>
      <c r="U94" s="122" t="e">
        <f aca="false">SUM(U$67:U$68)*U$6</f>
        <v>#VALUE!</v>
      </c>
      <c r="V94" s="122" t="e">
        <f aca="false">SUM(V$67:V$68)*V$6</f>
        <v>#VALUE!</v>
      </c>
      <c r="W94" s="122" t="e">
        <f aca="false">SUM(W$67:W$68)*W$6</f>
        <v>#VALUE!</v>
      </c>
      <c r="X94" s="122" t="e">
        <f aca="false">SUM(X$67:X$68)*X$6</f>
        <v>#VALUE!</v>
      </c>
      <c r="Y94" s="122" t="e">
        <f aca="false">SUM(Y$67:Y$68)*Y$6</f>
        <v>#VALUE!</v>
      </c>
      <c r="Z94" s="122" t="e">
        <f aca="false">SUM(Z$67:Z$68)*Z$6</f>
        <v>#VALUE!</v>
      </c>
      <c r="AA94" s="122" t="e">
        <f aca="false">SUM(AA$67:AA$68)*AA$6</f>
        <v>#VALUE!</v>
      </c>
      <c r="AB94" s="122" t="e">
        <f aca="false">SUM(AB$67:AB$68)*AB$6</f>
        <v>#VALUE!</v>
      </c>
      <c r="AC94" s="122" t="e">
        <f aca="false">SUM(AC$67:AC$68)*AC$6</f>
        <v>#VALUE!</v>
      </c>
      <c r="AD94" s="122" t="e">
        <f aca="false">SUM(AD$67:AD$68)*AD$6</f>
        <v>#VALUE!</v>
      </c>
      <c r="AE94" s="122" t="e">
        <f aca="false">SUM(AE$67:AE$68)*AE$6</f>
        <v>#VALUE!</v>
      </c>
      <c r="AF94" s="122" t="e">
        <f aca="false">SUM(AF$67:AF$68)*AF$6</f>
        <v>#VALUE!</v>
      </c>
      <c r="AG94" s="122" t="e">
        <f aca="false">SUM(AG$67:AG$68)*AG$6</f>
        <v>#VALUE!</v>
      </c>
      <c r="AH94" s="122" t="e">
        <f aca="false">SUM(AH$67:AH$68)*AH$6</f>
        <v>#VALUE!</v>
      </c>
      <c r="AI94" s="122" t="e">
        <f aca="false">SUM(AI$67:AI$68)*AI$6</f>
        <v>#VALUE!</v>
      </c>
      <c r="AJ94" s="122" t="e">
        <f aca="false">SUM(AJ$67:AJ$68)*AJ$6</f>
        <v>#VALUE!</v>
      </c>
      <c r="AK94" s="122" t="e">
        <f aca="false">SUM(AK$67:AK$68)*AK$6</f>
        <v>#VALUE!</v>
      </c>
      <c r="AL94" s="122" t="e">
        <f aca="false">SUM(AL$67:AL$68)*AL$6</f>
        <v>#VALUE!</v>
      </c>
    </row>
    <row r="95" customFormat="false" ht="15" hidden="false" customHeight="false" outlineLevel="1" collapsed="false">
      <c r="C95" s="0" t="s">
        <v>344</v>
      </c>
      <c r="D95" s="154"/>
      <c r="E95" s="104" t="s">
        <v>72</v>
      </c>
      <c r="G95" s="65"/>
      <c r="H95" s="0"/>
      <c r="I95" s="122" t="e">
        <f aca="false">MAX(-I90/DSCR-I98,-I92)</f>
        <v>#VALUE!</v>
      </c>
      <c r="J95" s="122" t="e">
        <f aca="false">MAX(-J90/DSCR-J98,-J92)</f>
        <v>#VALUE!</v>
      </c>
      <c r="K95" s="122" t="e">
        <f aca="false">MAX(-K90/DSCR-K98,-K92)</f>
        <v>#VALUE!</v>
      </c>
      <c r="L95" s="122" t="e">
        <f aca="false">MAX(-L90/DSCR-L98,-L92)</f>
        <v>#VALUE!</v>
      </c>
      <c r="M95" s="122" t="e">
        <f aca="false">MAX(-M90/DSCR-M98,-M92)</f>
        <v>#VALUE!</v>
      </c>
      <c r="N95" s="122" t="e">
        <f aca="false">MAX(-N90/DSCR-N98,-N92)</f>
        <v>#VALUE!</v>
      </c>
      <c r="O95" s="122" t="e">
        <f aca="false">MAX(-O90/DSCR-O98,-O92)</f>
        <v>#VALUE!</v>
      </c>
      <c r="P95" s="122" t="e">
        <f aca="false">MAX(-P90/DSCR-P98,-P92)</f>
        <v>#VALUE!</v>
      </c>
      <c r="Q95" s="122" t="e">
        <f aca="false">MAX(-Q90/DSCR-Q98,-Q92)</f>
        <v>#VALUE!</v>
      </c>
      <c r="R95" s="122" t="e">
        <f aca="false">MAX(-R90/DSCR-R98,-R92)</f>
        <v>#VALUE!</v>
      </c>
      <c r="S95" s="122" t="e">
        <f aca="false">MAX(-S90/DSCR-S98,-S92)</f>
        <v>#VALUE!</v>
      </c>
      <c r="T95" s="122" t="e">
        <f aca="false">MAX(-T90/DSCR-T98,-T92)</f>
        <v>#VALUE!</v>
      </c>
      <c r="U95" s="122" t="e">
        <f aca="false">MAX(-U90/DSCR-U98,-U92)</f>
        <v>#VALUE!</v>
      </c>
      <c r="V95" s="122" t="e">
        <f aca="false">MAX(-V90/DSCR-V98,-V92)</f>
        <v>#VALUE!</v>
      </c>
      <c r="W95" s="122" t="e">
        <f aca="false">MAX(-W90/DSCR-W98,-W92)</f>
        <v>#VALUE!</v>
      </c>
      <c r="X95" s="122" t="e">
        <f aca="false">MAX(-X90/DSCR-X98,-X92)</f>
        <v>#VALUE!</v>
      </c>
      <c r="Y95" s="122" t="e">
        <f aca="false">MAX(-Y90/DSCR-Y98,-Y92)</f>
        <v>#VALUE!</v>
      </c>
      <c r="Z95" s="122" t="e">
        <f aca="false">MAX(-Z90/DSCR-Z98,-Z92)</f>
        <v>#VALUE!</v>
      </c>
      <c r="AA95" s="122" t="e">
        <f aca="false">MAX(-AA90/DSCR-AA98,-AA92)</f>
        <v>#VALUE!</v>
      </c>
      <c r="AB95" s="122" t="e">
        <f aca="false">MAX(-AB90/DSCR-AB98,-AB92)</f>
        <v>#VALUE!</v>
      </c>
      <c r="AC95" s="122" t="e">
        <f aca="false">MAX(-AC90/DSCR-AC98,-AC92)</f>
        <v>#VALUE!</v>
      </c>
      <c r="AD95" s="122" t="e">
        <f aca="false">MAX(-AD90/DSCR-AD98,-AD92)</f>
        <v>#VALUE!</v>
      </c>
      <c r="AE95" s="122" t="e">
        <f aca="false">MAX(-AE90/DSCR-AE98,-AE92)</f>
        <v>#VALUE!</v>
      </c>
      <c r="AF95" s="122" t="e">
        <f aca="false">MAX(-AF90/DSCR-AF98,-AF92)</f>
        <v>#VALUE!</v>
      </c>
      <c r="AG95" s="122" t="e">
        <f aca="false">MAX(-AG90/DSCR-AG98,-AG92)</f>
        <v>#VALUE!</v>
      </c>
      <c r="AH95" s="122" t="e">
        <f aca="false">MAX(-AH90/DSCR-AH98,-AH92)</f>
        <v>#VALUE!</v>
      </c>
      <c r="AI95" s="122" t="e">
        <f aca="false">MAX(-AI90/DSCR-AI98,-AI92)</f>
        <v>#VALUE!</v>
      </c>
      <c r="AJ95" s="122" t="e">
        <f aca="false">MAX(-AJ90/DSCR-AJ98,-AJ92)</f>
        <v>#VALUE!</v>
      </c>
      <c r="AK95" s="122" t="e">
        <f aca="false">MAX(-AK90/DSCR-AK98,-AK92)</f>
        <v>#VALUE!</v>
      </c>
      <c r="AL95" s="122" t="e">
        <f aca="false">MAX(-AL90/DSCR-AL98,-AL92)</f>
        <v>#VALUE!</v>
      </c>
    </row>
    <row r="96" customFormat="false" ht="15" hidden="false" customHeight="false" outlineLevel="1" collapsed="false">
      <c r="C96" s="117" t="s">
        <v>336</v>
      </c>
      <c r="D96" s="117"/>
      <c r="E96" s="118" t="s">
        <v>72</v>
      </c>
      <c r="F96" s="117"/>
      <c r="G96" s="124"/>
      <c r="H96" s="119"/>
      <c r="I96" s="121" t="e">
        <f aca="false">SUM(I92:I95)</f>
        <v>#VALUE!</v>
      </c>
      <c r="J96" s="121" t="e">
        <f aca="false">SUM(J92:J95)</f>
        <v>#VALUE!</v>
      </c>
      <c r="K96" s="121" t="e">
        <f aca="false">SUM(K92:K95)</f>
        <v>#VALUE!</v>
      </c>
      <c r="L96" s="121" t="e">
        <f aca="false">SUM(L92:L95)</f>
        <v>#VALUE!</v>
      </c>
      <c r="M96" s="121" t="e">
        <f aca="false">SUM(M92:M95)</f>
        <v>#VALUE!</v>
      </c>
      <c r="N96" s="121" t="e">
        <f aca="false">SUM(N92:N95)</f>
        <v>#VALUE!</v>
      </c>
      <c r="O96" s="121" t="e">
        <f aca="false">SUM(O92:O95)</f>
        <v>#VALUE!</v>
      </c>
      <c r="P96" s="121" t="e">
        <f aca="false">SUM(P92:P95)</f>
        <v>#VALUE!</v>
      </c>
      <c r="Q96" s="121" t="e">
        <f aca="false">SUM(Q92:Q95)</f>
        <v>#VALUE!</v>
      </c>
      <c r="R96" s="121" t="e">
        <f aca="false">SUM(R92:R95)</f>
        <v>#VALUE!</v>
      </c>
      <c r="S96" s="121" t="e">
        <f aca="false">SUM(S92:S95)</f>
        <v>#VALUE!</v>
      </c>
      <c r="T96" s="121" t="e">
        <f aca="false">SUM(T92:T95)</f>
        <v>#VALUE!</v>
      </c>
      <c r="U96" s="121" t="e">
        <f aca="false">SUM(U92:U95)</f>
        <v>#VALUE!</v>
      </c>
      <c r="V96" s="121" t="e">
        <f aca="false">SUM(V92:V95)</f>
        <v>#VALUE!</v>
      </c>
      <c r="W96" s="121" t="e">
        <f aca="false">SUM(W92:W95)</f>
        <v>#VALUE!</v>
      </c>
      <c r="X96" s="121" t="e">
        <f aca="false">SUM(X92:X95)</f>
        <v>#VALUE!</v>
      </c>
      <c r="Y96" s="121" t="e">
        <f aca="false">SUM(Y92:Y95)</f>
        <v>#VALUE!</v>
      </c>
      <c r="Z96" s="121" t="e">
        <f aca="false">SUM(Z92:Z95)</f>
        <v>#VALUE!</v>
      </c>
      <c r="AA96" s="121" t="e">
        <f aca="false">SUM(AA92:AA95)</f>
        <v>#VALUE!</v>
      </c>
      <c r="AB96" s="121" t="e">
        <f aca="false">SUM(AB92:AB95)</f>
        <v>#VALUE!</v>
      </c>
      <c r="AC96" s="121" t="e">
        <f aca="false">SUM(AC92:AC95)</f>
        <v>#VALUE!</v>
      </c>
      <c r="AD96" s="121" t="e">
        <f aca="false">SUM(AD92:AD95)</f>
        <v>#VALUE!</v>
      </c>
      <c r="AE96" s="121" t="e">
        <f aca="false">SUM(AE92:AE95)</f>
        <v>#VALUE!</v>
      </c>
      <c r="AF96" s="121" t="e">
        <f aca="false">SUM(AF92:AF95)</f>
        <v>#VALUE!</v>
      </c>
      <c r="AG96" s="121" t="e">
        <f aca="false">SUM(AG92:AG95)</f>
        <v>#VALUE!</v>
      </c>
      <c r="AH96" s="121" t="e">
        <f aca="false">SUM(AH92:AH95)</f>
        <v>#VALUE!</v>
      </c>
      <c r="AI96" s="121" t="e">
        <f aca="false">SUM(AI92:AI95)</f>
        <v>#VALUE!</v>
      </c>
      <c r="AJ96" s="121" t="e">
        <f aca="false">SUM(AJ92:AJ95)</f>
        <v>#VALUE!</v>
      </c>
      <c r="AK96" s="121" t="e">
        <f aca="false">SUM(AK92:AK95)</f>
        <v>#VALUE!</v>
      </c>
      <c r="AL96" s="121" t="e">
        <f aca="false">SUM(AL92:AL95)</f>
        <v>#VALUE!</v>
      </c>
    </row>
    <row r="97" customFormat="false" ht="15" hidden="false" customHeight="false" outlineLevel="1" collapsed="false">
      <c r="C97" s="154"/>
      <c r="D97" s="154"/>
      <c r="E97" s="155"/>
      <c r="G97" s="65"/>
      <c r="H97" s="0"/>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row>
    <row r="98" customFormat="false" ht="15" hidden="false" customHeight="false" outlineLevel="1" collapsed="false">
      <c r="C98" s="154" t="s">
        <v>348</v>
      </c>
      <c r="E98" s="104" t="s">
        <v>72</v>
      </c>
      <c r="G98" s="65"/>
      <c r="H98" s="0"/>
      <c r="I98" s="122" t="n">
        <f aca="false">-I92*Bank_Rate*I11</f>
        <v>-0</v>
      </c>
      <c r="J98" s="122" t="e">
        <f aca="false">-J92*Bank_Rate*J11</f>
        <v>#VALUE!</v>
      </c>
      <c r="K98" s="122" t="e">
        <f aca="false">-K92*Bank_Rate*K11</f>
        <v>#VALUE!</v>
      </c>
      <c r="L98" s="122" t="e">
        <f aca="false">-L92*Bank_Rate*L11</f>
        <v>#VALUE!</v>
      </c>
      <c r="M98" s="122" t="e">
        <f aca="false">-M92*Bank_Rate*M11</f>
        <v>#VALUE!</v>
      </c>
      <c r="N98" s="122" t="e">
        <f aca="false">-N92*Bank_Rate*N11</f>
        <v>#VALUE!</v>
      </c>
      <c r="O98" s="122" t="e">
        <f aca="false">-O92*Bank_Rate*O11</f>
        <v>#VALUE!</v>
      </c>
      <c r="P98" s="122" t="e">
        <f aca="false">-P92*Bank_Rate*P11</f>
        <v>#VALUE!</v>
      </c>
      <c r="Q98" s="122" t="e">
        <f aca="false">-Q92*Bank_Rate*Q11</f>
        <v>#VALUE!</v>
      </c>
      <c r="R98" s="122" t="e">
        <f aca="false">-R92*Bank_Rate*R11</f>
        <v>#VALUE!</v>
      </c>
      <c r="S98" s="122" t="e">
        <f aca="false">-S92*Bank_Rate*S11</f>
        <v>#VALUE!</v>
      </c>
      <c r="T98" s="122" t="e">
        <f aca="false">-T92*Bank_Rate*T11</f>
        <v>#VALUE!</v>
      </c>
      <c r="U98" s="122" t="e">
        <f aca="false">-U92*Bank_Rate*U11</f>
        <v>#VALUE!</v>
      </c>
      <c r="V98" s="122" t="e">
        <f aca="false">-V92*Bank_Rate*V11</f>
        <v>#VALUE!</v>
      </c>
      <c r="W98" s="122" t="e">
        <f aca="false">-W92*Bank_Rate*W11</f>
        <v>#VALUE!</v>
      </c>
      <c r="X98" s="122" t="e">
        <f aca="false">-X92*Bank_Rate*X11</f>
        <v>#VALUE!</v>
      </c>
      <c r="Y98" s="122" t="e">
        <f aca="false">-Y92*Bank_Rate*Y11</f>
        <v>#VALUE!</v>
      </c>
      <c r="Z98" s="122" t="e">
        <f aca="false">-Z92*Bank_Rate*Z11</f>
        <v>#VALUE!</v>
      </c>
      <c r="AA98" s="122" t="e">
        <f aca="false">-AA92*Bank_Rate*AA11</f>
        <v>#VALUE!</v>
      </c>
      <c r="AB98" s="122" t="e">
        <f aca="false">-AB92*Bank_Rate*AB11</f>
        <v>#VALUE!</v>
      </c>
      <c r="AC98" s="122" t="e">
        <f aca="false">-AC92*Bank_Rate*AC11</f>
        <v>#VALUE!</v>
      </c>
      <c r="AD98" s="122" t="e">
        <f aca="false">-AD92*Bank_Rate*AD11</f>
        <v>#VALUE!</v>
      </c>
      <c r="AE98" s="122" t="e">
        <f aca="false">-AE92*Bank_Rate*AE11</f>
        <v>#VALUE!</v>
      </c>
      <c r="AF98" s="122" t="e">
        <f aca="false">-AF92*Bank_Rate*AF11</f>
        <v>#VALUE!</v>
      </c>
      <c r="AG98" s="122" t="e">
        <f aca="false">-AG92*Bank_Rate*AG11</f>
        <v>#VALUE!</v>
      </c>
      <c r="AH98" s="122" t="e">
        <f aca="false">-AH92*Bank_Rate*AH11</f>
        <v>#VALUE!</v>
      </c>
      <c r="AI98" s="122" t="e">
        <f aca="false">-AI92*Bank_Rate*AI11</f>
        <v>#VALUE!</v>
      </c>
      <c r="AJ98" s="122" t="e">
        <f aca="false">-AJ92*Bank_Rate*AJ11</f>
        <v>#VALUE!</v>
      </c>
      <c r="AK98" s="122" t="e">
        <f aca="false">-AK92*Bank_Rate*AK11</f>
        <v>#VALUE!</v>
      </c>
      <c r="AL98" s="122" t="e">
        <f aca="false">-AL92*Bank_Rate*AL11</f>
        <v>#VALUE!</v>
      </c>
    </row>
    <row r="99" customFormat="false" ht="15" hidden="false" customHeight="false" outlineLevel="1" collapsed="false">
      <c r="C99" s="154" t="s">
        <v>349</v>
      </c>
      <c r="E99" s="104" t="s">
        <v>72</v>
      </c>
      <c r="G99" s="65" t="e">
        <f aca="false">-SUMIF(I10:AL10,1,I95:AL95)-SUMIF(I10:AL10,1,I98:AL98)</f>
        <v>#VALUE!</v>
      </c>
      <c r="H99" s="0"/>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row>
    <row r="100" customFormat="false" ht="15" hidden="false" customHeight="false" outlineLevel="1" collapsed="false">
      <c r="C100" s="154" t="s">
        <v>350</v>
      </c>
      <c r="E100" s="104" t="s">
        <v>72</v>
      </c>
      <c r="G100" s="65"/>
      <c r="H100" s="0"/>
      <c r="I100" s="122" t="e">
        <f aca="false">-(I95+I98)*DSRA_Provision/12</f>
        <v>#VALUE!</v>
      </c>
      <c r="J100" s="122" t="e">
        <f aca="false">-(J95+J98)*DSRA_Provision/12</f>
        <v>#VALUE!</v>
      </c>
      <c r="K100" s="122" t="e">
        <f aca="false">-(K95+K98)*DSRA_Provision/12</f>
        <v>#VALUE!</v>
      </c>
      <c r="L100" s="122" t="e">
        <f aca="false">-(L95+L98)*DSRA_Provision/12</f>
        <v>#VALUE!</v>
      </c>
      <c r="M100" s="122" t="e">
        <f aca="false">-(M95+M98)*DSRA_Provision/12</f>
        <v>#VALUE!</v>
      </c>
      <c r="N100" s="122" t="e">
        <f aca="false">-(N95+N98)*DSRA_Provision/12</f>
        <v>#VALUE!</v>
      </c>
      <c r="O100" s="122" t="e">
        <f aca="false">-(O95+O98)*DSRA_Provision/12</f>
        <v>#VALUE!</v>
      </c>
      <c r="P100" s="122" t="e">
        <f aca="false">-(P95+P98)*DSRA_Provision/12</f>
        <v>#VALUE!</v>
      </c>
      <c r="Q100" s="122" t="e">
        <f aca="false">-(Q95+Q98)*DSRA_Provision/12</f>
        <v>#VALUE!</v>
      </c>
      <c r="R100" s="122" t="e">
        <f aca="false">-(R95+R98)*DSRA_Provision/12</f>
        <v>#VALUE!</v>
      </c>
      <c r="S100" s="122" t="e">
        <f aca="false">-(S95+S98)*DSRA_Provision/12</f>
        <v>#VALUE!</v>
      </c>
      <c r="T100" s="122" t="e">
        <f aca="false">-(T95+T98)*DSRA_Provision/12</f>
        <v>#VALUE!</v>
      </c>
      <c r="U100" s="122" t="e">
        <f aca="false">-(U95+U98)*DSRA_Provision/12</f>
        <v>#VALUE!</v>
      </c>
      <c r="V100" s="122" t="e">
        <f aca="false">-(V95+V98)*DSRA_Provision/12</f>
        <v>#VALUE!</v>
      </c>
      <c r="W100" s="122" t="e">
        <f aca="false">-(W95+W98)*DSRA_Provision/12</f>
        <v>#VALUE!</v>
      </c>
      <c r="X100" s="122" t="e">
        <f aca="false">-(X95+X98)*DSRA_Provision/12</f>
        <v>#VALUE!</v>
      </c>
      <c r="Y100" s="122" t="e">
        <f aca="false">-(Y95+Y98)*DSRA_Provision/12</f>
        <v>#VALUE!</v>
      </c>
      <c r="Z100" s="122" t="e">
        <f aca="false">-(Z95+Z98)*DSRA_Provision/12</f>
        <v>#VALUE!</v>
      </c>
      <c r="AA100" s="122" t="e">
        <f aca="false">-(AA95+AA98)*DSRA_Provision/12</f>
        <v>#VALUE!</v>
      </c>
      <c r="AB100" s="122" t="e">
        <f aca="false">-(AB95+AB98)*DSRA_Provision/12</f>
        <v>#VALUE!</v>
      </c>
      <c r="AC100" s="122" t="e">
        <f aca="false">-(AC95+AC98)*DSRA_Provision/12</f>
        <v>#VALUE!</v>
      </c>
      <c r="AD100" s="122" t="e">
        <f aca="false">-(AD95+AD98)*DSRA_Provision/12</f>
        <v>#VALUE!</v>
      </c>
      <c r="AE100" s="122" t="e">
        <f aca="false">-(AE95+AE98)*DSRA_Provision/12</f>
        <v>#VALUE!</v>
      </c>
      <c r="AF100" s="122" t="e">
        <f aca="false">-(AF95+AF98)*DSRA_Provision/12</f>
        <v>#VALUE!</v>
      </c>
      <c r="AG100" s="122" t="e">
        <f aca="false">-(AG95+AG98)*DSRA_Provision/12</f>
        <v>#VALUE!</v>
      </c>
      <c r="AH100" s="122" t="e">
        <f aca="false">-(AH95+AH98)*DSRA_Provision/12</f>
        <v>#VALUE!</v>
      </c>
      <c r="AI100" s="122" t="e">
        <f aca="false">-(AI95+AI98)*DSRA_Provision/12</f>
        <v>#VALUE!</v>
      </c>
      <c r="AJ100" s="122" t="e">
        <f aca="false">-(AJ95+AJ98)*DSRA_Provision/12</f>
        <v>#VALUE!</v>
      </c>
      <c r="AK100" s="122" t="e">
        <f aca="false">-(AK95+AK98)*DSRA_Provision/12</f>
        <v>#VALUE!</v>
      </c>
      <c r="AL100" s="122" t="e">
        <f aca="false">-(AL95+AL98)*DSRA_Provision/12</f>
        <v>#VALUE!</v>
      </c>
    </row>
    <row r="101" customFormat="false" ht="15" hidden="false" customHeight="false" outlineLevel="1" collapsed="false">
      <c r="E101" s="0"/>
      <c r="G101" s="65"/>
      <c r="H101" s="0"/>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row>
    <row r="102" customFormat="false" ht="15" hidden="false" customHeight="false" outlineLevel="1" collapsed="false">
      <c r="B102" s="2" t="e">
        <f aca="false">(MAX($A$7:B86)+0.1)</f>
        <v>#VALUE!</v>
      </c>
      <c r="C102" s="2" t="s">
        <v>351</v>
      </c>
      <c r="D102" s="154"/>
      <c r="E102" s="155"/>
      <c r="F102" s="154"/>
      <c r="G102" s="131"/>
      <c r="H102" s="0"/>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row>
    <row r="103" customFormat="false" ht="15" hidden="false" customHeight="false" outlineLevel="1" collapsed="false">
      <c r="C103" s="154"/>
      <c r="D103" s="154"/>
      <c r="E103" s="155"/>
      <c r="F103" s="154"/>
      <c r="G103" s="131"/>
      <c r="H103" s="0"/>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row>
    <row r="104" customFormat="false" ht="15" hidden="false" customHeight="false" outlineLevel="1" collapsed="false">
      <c r="C104" s="0" t="s">
        <v>327</v>
      </c>
      <c r="E104" s="104" t="s">
        <v>72</v>
      </c>
      <c r="F104" s="154"/>
      <c r="G104" s="131"/>
      <c r="H104" s="0"/>
      <c r="I104" s="122" t="n">
        <f aca="false">H108</f>
        <v>0</v>
      </c>
      <c r="J104" s="122" t="n">
        <f aca="false">I108</f>
        <v>19625364.4342008</v>
      </c>
      <c r="K104" s="122" t="e">
        <f aca="false">J108</f>
        <v>#VALUE!</v>
      </c>
      <c r="L104" s="122" t="e">
        <f aca="false">K108</f>
        <v>#VALUE!</v>
      </c>
      <c r="M104" s="122" t="e">
        <f aca="false">L108</f>
        <v>#VALUE!</v>
      </c>
      <c r="N104" s="122" t="e">
        <f aca="false">M108</f>
        <v>#VALUE!</v>
      </c>
      <c r="O104" s="122" t="e">
        <f aca="false">N108</f>
        <v>#VALUE!</v>
      </c>
      <c r="P104" s="122" t="e">
        <f aca="false">O108</f>
        <v>#VALUE!</v>
      </c>
      <c r="Q104" s="122" t="e">
        <f aca="false">P108</f>
        <v>#VALUE!</v>
      </c>
      <c r="R104" s="122" t="e">
        <f aca="false">Q108</f>
        <v>#VALUE!</v>
      </c>
      <c r="S104" s="122" t="e">
        <f aca="false">R108</f>
        <v>#VALUE!</v>
      </c>
      <c r="T104" s="122" t="e">
        <f aca="false">S108</f>
        <v>#VALUE!</v>
      </c>
      <c r="U104" s="122" t="e">
        <f aca="false">T108</f>
        <v>#VALUE!</v>
      </c>
      <c r="V104" s="122" t="e">
        <f aca="false">U108</f>
        <v>#VALUE!</v>
      </c>
      <c r="W104" s="122" t="e">
        <f aca="false">V108</f>
        <v>#VALUE!</v>
      </c>
      <c r="X104" s="122" t="e">
        <f aca="false">W108</f>
        <v>#VALUE!</v>
      </c>
      <c r="Y104" s="122" t="e">
        <f aca="false">X108</f>
        <v>#VALUE!</v>
      </c>
      <c r="Z104" s="122" t="e">
        <f aca="false">Y108</f>
        <v>#VALUE!</v>
      </c>
      <c r="AA104" s="122" t="e">
        <f aca="false">Z108</f>
        <v>#VALUE!</v>
      </c>
      <c r="AB104" s="122" t="e">
        <f aca="false">AA108</f>
        <v>#VALUE!</v>
      </c>
      <c r="AC104" s="122" t="e">
        <f aca="false">AB108</f>
        <v>#VALUE!</v>
      </c>
      <c r="AD104" s="122" t="e">
        <f aca="false">AC108</f>
        <v>#VALUE!</v>
      </c>
      <c r="AE104" s="122" t="e">
        <f aca="false">AD108</f>
        <v>#VALUE!</v>
      </c>
      <c r="AF104" s="122" t="e">
        <f aca="false">AE108</f>
        <v>#VALUE!</v>
      </c>
      <c r="AG104" s="122" t="e">
        <f aca="false">AF108</f>
        <v>#VALUE!</v>
      </c>
      <c r="AH104" s="122" t="e">
        <f aca="false">AG108</f>
        <v>#VALUE!</v>
      </c>
      <c r="AI104" s="122" t="e">
        <f aca="false">AH108</f>
        <v>#VALUE!</v>
      </c>
      <c r="AJ104" s="122" t="e">
        <f aca="false">AI108</f>
        <v>#VALUE!</v>
      </c>
      <c r="AK104" s="122" t="e">
        <f aca="false">AJ108</f>
        <v>#VALUE!</v>
      </c>
      <c r="AL104" s="122" t="e">
        <f aca="false">AK108</f>
        <v>#VALUE!</v>
      </c>
    </row>
    <row r="105" customFormat="false" ht="15" hidden="false" customHeight="false" outlineLevel="1" collapsed="false">
      <c r="C105" s="0" t="s">
        <v>342</v>
      </c>
      <c r="D105" s="154"/>
      <c r="E105" s="104" t="s">
        <v>72</v>
      </c>
      <c r="G105" s="65"/>
      <c r="H105" s="0"/>
      <c r="I105" s="122" t="n">
        <f aca="false">SUM(I$60:I$66)*I$6</f>
        <v>18916013.9124827</v>
      </c>
      <c r="J105" s="122" t="e">
        <f aca="false">SUM(J$60:J$66)*J$6</f>
        <v>#VALUE!</v>
      </c>
      <c r="K105" s="122" t="e">
        <f aca="false">SUM(K$60:K$66)*K$6</f>
        <v>#VALUE!</v>
      </c>
      <c r="L105" s="122" t="e">
        <f aca="false">SUM(L$60:L$66)*L$6</f>
        <v>#VALUE!</v>
      </c>
      <c r="M105" s="122" t="e">
        <f aca="false">SUM(M$60:M$66)*M$6</f>
        <v>#VALUE!</v>
      </c>
      <c r="N105" s="122" t="e">
        <f aca="false">SUM(N$60:N$66)*N$6</f>
        <v>#VALUE!</v>
      </c>
      <c r="O105" s="122" t="e">
        <f aca="false">SUM(O$60:O$66)*O$6</f>
        <v>#VALUE!</v>
      </c>
      <c r="P105" s="122" t="e">
        <f aca="false">SUM(P$60:P$66)*P$6</f>
        <v>#VALUE!</v>
      </c>
      <c r="Q105" s="122" t="e">
        <f aca="false">SUM(Q$60:Q$66)*Q$6</f>
        <v>#VALUE!</v>
      </c>
      <c r="R105" s="122" t="e">
        <f aca="false">SUM(R$60:R$66)*R$6</f>
        <v>#VALUE!</v>
      </c>
      <c r="S105" s="122" t="e">
        <f aca="false">SUM(S$60:S$66)*S$6</f>
        <v>#VALUE!</v>
      </c>
      <c r="T105" s="122" t="e">
        <f aca="false">SUM(T$60:T$66)*T$6</f>
        <v>#VALUE!</v>
      </c>
      <c r="U105" s="122" t="e">
        <f aca="false">SUM(U$60:U$66)*U$6</f>
        <v>#VALUE!</v>
      </c>
      <c r="V105" s="122" t="e">
        <f aca="false">SUM(V$60:V$66)*V$6</f>
        <v>#VALUE!</v>
      </c>
      <c r="W105" s="122" t="e">
        <f aca="false">SUM(W$60:W$66)*W$6</f>
        <v>#VALUE!</v>
      </c>
      <c r="X105" s="122" t="e">
        <f aca="false">SUM(X$60:X$66)*X$6</f>
        <v>#VALUE!</v>
      </c>
      <c r="Y105" s="122" t="e">
        <f aca="false">SUM(Y$60:Y$66)*Y$6</f>
        <v>#VALUE!</v>
      </c>
      <c r="Z105" s="122" t="e">
        <f aca="false">SUM(Z$60:Z$66)*Z$6</f>
        <v>#VALUE!</v>
      </c>
      <c r="AA105" s="122" t="e">
        <f aca="false">SUM(AA$60:AA$66)*AA$6</f>
        <v>#VALUE!</v>
      </c>
      <c r="AB105" s="122" t="e">
        <f aca="false">SUM(AB$60:AB$66)*AB$6</f>
        <v>#VALUE!</v>
      </c>
      <c r="AC105" s="122" t="e">
        <f aca="false">SUM(AC$60:AC$66)*AC$6</f>
        <v>#VALUE!</v>
      </c>
      <c r="AD105" s="122" t="e">
        <f aca="false">SUM(AD$60:AD$66)*AD$6</f>
        <v>#VALUE!</v>
      </c>
      <c r="AE105" s="122" t="e">
        <f aca="false">SUM(AE$60:AE$66)*AE$6</f>
        <v>#VALUE!</v>
      </c>
      <c r="AF105" s="122" t="e">
        <f aca="false">SUM(AF$60:AF$66)*AF$6</f>
        <v>#VALUE!</v>
      </c>
      <c r="AG105" s="122" t="e">
        <f aca="false">SUM(AG$60:AG$66)*AG$6</f>
        <v>#VALUE!</v>
      </c>
      <c r="AH105" s="122" t="e">
        <f aca="false">SUM(AH$60:AH$66)*AH$6</f>
        <v>#VALUE!</v>
      </c>
      <c r="AI105" s="122" t="e">
        <f aca="false">SUM(AI$60:AI$66)*AI$6</f>
        <v>#VALUE!</v>
      </c>
      <c r="AJ105" s="122" t="e">
        <f aca="false">SUM(AJ$60:AJ$66)*AJ$6</f>
        <v>#VALUE!</v>
      </c>
      <c r="AK105" s="122" t="e">
        <f aca="false">SUM(AK$60:AK$66)*AK$6</f>
        <v>#VALUE!</v>
      </c>
      <c r="AL105" s="122" t="e">
        <f aca="false">SUM(AL$60:AL$66)*AL$6</f>
        <v>#VALUE!</v>
      </c>
    </row>
    <row r="106" customFormat="false" ht="15" hidden="false" customHeight="false" outlineLevel="1" collapsed="false">
      <c r="C106" s="0" t="s">
        <v>343</v>
      </c>
      <c r="D106" s="154"/>
      <c r="E106" s="104" t="s">
        <v>72</v>
      </c>
      <c r="G106" s="65"/>
      <c r="H106" s="0"/>
      <c r="I106" s="122" t="n">
        <f aca="false">SUM(I$67:I$68)*I$6</f>
        <v>709350.521718102</v>
      </c>
      <c r="J106" s="122" t="e">
        <f aca="false">SUM(J$67:J$68)*J$6</f>
        <v>#VALUE!</v>
      </c>
      <c r="K106" s="122" t="e">
        <f aca="false">SUM(K$67:K$68)*K$6</f>
        <v>#VALUE!</v>
      </c>
      <c r="L106" s="122" t="e">
        <f aca="false">SUM(L$67:L$68)*L$6</f>
        <v>#VALUE!</v>
      </c>
      <c r="M106" s="122" t="e">
        <f aca="false">SUM(M$67:M$68)*M$6</f>
        <v>#VALUE!</v>
      </c>
      <c r="N106" s="122" t="e">
        <f aca="false">SUM(N$67:N$68)*N$6</f>
        <v>#VALUE!</v>
      </c>
      <c r="O106" s="122" t="e">
        <f aca="false">SUM(O$67:O$68)*O$6</f>
        <v>#VALUE!</v>
      </c>
      <c r="P106" s="122" t="e">
        <f aca="false">SUM(P$67:P$68)*P$6</f>
        <v>#VALUE!</v>
      </c>
      <c r="Q106" s="122" t="e">
        <f aca="false">SUM(Q$67:Q$68)*Q$6</f>
        <v>#VALUE!</v>
      </c>
      <c r="R106" s="122" t="e">
        <f aca="false">SUM(R$67:R$68)*R$6</f>
        <v>#VALUE!</v>
      </c>
      <c r="S106" s="122" t="e">
        <f aca="false">SUM(S$67:S$68)*S$6</f>
        <v>#VALUE!</v>
      </c>
      <c r="T106" s="122" t="e">
        <f aca="false">SUM(T$67:T$68)*T$6</f>
        <v>#VALUE!</v>
      </c>
      <c r="U106" s="122" t="e">
        <f aca="false">SUM(U$67:U$68)*U$6</f>
        <v>#VALUE!</v>
      </c>
      <c r="V106" s="122" t="e">
        <f aca="false">SUM(V$67:V$68)*V$6</f>
        <v>#VALUE!</v>
      </c>
      <c r="W106" s="122" t="e">
        <f aca="false">SUM(W$67:W$68)*W$6</f>
        <v>#VALUE!</v>
      </c>
      <c r="X106" s="122" t="e">
        <f aca="false">SUM(X$67:X$68)*X$6</f>
        <v>#VALUE!</v>
      </c>
      <c r="Y106" s="122" t="e">
        <f aca="false">SUM(Y$67:Y$68)*Y$6</f>
        <v>#VALUE!</v>
      </c>
      <c r="Z106" s="122" t="e">
        <f aca="false">SUM(Z$67:Z$68)*Z$6</f>
        <v>#VALUE!</v>
      </c>
      <c r="AA106" s="122" t="e">
        <f aca="false">SUM(AA$67:AA$68)*AA$6</f>
        <v>#VALUE!</v>
      </c>
      <c r="AB106" s="122" t="e">
        <f aca="false">SUM(AB$67:AB$68)*AB$6</f>
        <v>#VALUE!</v>
      </c>
      <c r="AC106" s="122" t="e">
        <f aca="false">SUM(AC$67:AC$68)*AC$6</f>
        <v>#VALUE!</v>
      </c>
      <c r="AD106" s="122" t="e">
        <f aca="false">SUM(AD$67:AD$68)*AD$6</f>
        <v>#VALUE!</v>
      </c>
      <c r="AE106" s="122" t="e">
        <f aca="false">SUM(AE$67:AE$68)*AE$6</f>
        <v>#VALUE!</v>
      </c>
      <c r="AF106" s="122" t="e">
        <f aca="false">SUM(AF$67:AF$68)*AF$6</f>
        <v>#VALUE!</v>
      </c>
      <c r="AG106" s="122" t="e">
        <f aca="false">SUM(AG$67:AG$68)*AG$6</f>
        <v>#VALUE!</v>
      </c>
      <c r="AH106" s="122" t="e">
        <f aca="false">SUM(AH$67:AH$68)*AH$6</f>
        <v>#VALUE!</v>
      </c>
      <c r="AI106" s="122" t="e">
        <f aca="false">SUM(AI$67:AI$68)*AI$6</f>
        <v>#VALUE!</v>
      </c>
      <c r="AJ106" s="122" t="e">
        <f aca="false">SUM(AJ$67:AJ$68)*AJ$6</f>
        <v>#VALUE!</v>
      </c>
      <c r="AK106" s="122" t="e">
        <f aca="false">SUM(AK$67:AK$68)*AK$6</f>
        <v>#VALUE!</v>
      </c>
      <c r="AL106" s="122" t="e">
        <f aca="false">SUM(AL$67:AL$68)*AL$6</f>
        <v>#VALUE!</v>
      </c>
    </row>
    <row r="107" customFormat="false" ht="15" hidden="false" customHeight="false" outlineLevel="1" collapsed="false">
      <c r="C107" s="0" t="s">
        <v>344</v>
      </c>
      <c r="E107" s="104" t="s">
        <v>72</v>
      </c>
      <c r="F107" s="154"/>
      <c r="G107" s="131"/>
      <c r="H107" s="0"/>
      <c r="I107" s="122" t="n">
        <f aca="false">-I11*Bank_Principal/Bank_Tenor</f>
        <v>-0</v>
      </c>
      <c r="J107" s="122" t="n">
        <f aca="false">-J11*Bank_Principal/Bank_Tenor</f>
        <v>-1635447.0361834</v>
      </c>
      <c r="K107" s="122" t="n">
        <f aca="false">-K11*Bank_Principal/Bank_Tenor</f>
        <v>-1635447.0361834</v>
      </c>
      <c r="L107" s="122" t="n">
        <f aca="false">-L11*Bank_Principal/Bank_Tenor</f>
        <v>-1635447.0361834</v>
      </c>
      <c r="M107" s="122" t="n">
        <f aca="false">-M11*Bank_Principal/Bank_Tenor</f>
        <v>-1635447.0361834</v>
      </c>
      <c r="N107" s="122" t="n">
        <f aca="false">-N11*Bank_Principal/Bank_Tenor</f>
        <v>-1635447.0361834</v>
      </c>
      <c r="O107" s="122" t="n">
        <f aca="false">-O11*Bank_Principal/Bank_Tenor</f>
        <v>-1635447.0361834</v>
      </c>
      <c r="P107" s="122" t="n">
        <f aca="false">-P11*Bank_Principal/Bank_Tenor</f>
        <v>-1635447.0361834</v>
      </c>
      <c r="Q107" s="122" t="n">
        <f aca="false">-Q11*Bank_Principal/Bank_Tenor</f>
        <v>-1635447.0361834</v>
      </c>
      <c r="R107" s="122" t="n">
        <f aca="false">-R11*Bank_Principal/Bank_Tenor</f>
        <v>-1635447.0361834</v>
      </c>
      <c r="S107" s="122" t="n">
        <f aca="false">-S11*Bank_Principal/Bank_Tenor</f>
        <v>-1635447.0361834</v>
      </c>
      <c r="T107" s="122" t="n">
        <f aca="false">-T11*Bank_Principal/Bank_Tenor</f>
        <v>-1635447.0361834</v>
      </c>
      <c r="U107" s="122" t="n">
        <f aca="false">-U11*Bank_Principal/Bank_Tenor</f>
        <v>-1635447.0361834</v>
      </c>
      <c r="V107" s="122" t="n">
        <f aca="false">-V11*Bank_Principal/Bank_Tenor</f>
        <v>-0</v>
      </c>
      <c r="W107" s="122" t="n">
        <f aca="false">-W11*Bank_Principal/Bank_Tenor</f>
        <v>-0</v>
      </c>
      <c r="X107" s="122" t="n">
        <f aca="false">-X11*Bank_Principal/Bank_Tenor</f>
        <v>-0</v>
      </c>
      <c r="Y107" s="122" t="n">
        <f aca="false">-Y11*Bank_Principal/Bank_Tenor</f>
        <v>-0</v>
      </c>
      <c r="Z107" s="122" t="n">
        <f aca="false">-Z11*Bank_Principal/Bank_Tenor</f>
        <v>-0</v>
      </c>
      <c r="AA107" s="122" t="n">
        <f aca="false">-AA11*Bank_Principal/Bank_Tenor</f>
        <v>-0</v>
      </c>
      <c r="AB107" s="122" t="n">
        <f aca="false">-AB11*Bank_Principal/Bank_Tenor</f>
        <v>-0</v>
      </c>
      <c r="AC107" s="122" t="n">
        <f aca="false">-AC11*Bank_Principal/Bank_Tenor</f>
        <v>-0</v>
      </c>
      <c r="AD107" s="122" t="n">
        <f aca="false">-AD11*Bank_Principal/Bank_Tenor</f>
        <v>-0</v>
      </c>
      <c r="AE107" s="122" t="n">
        <f aca="false">-AE11*Bank_Principal/Bank_Tenor</f>
        <v>-0</v>
      </c>
      <c r="AF107" s="122" t="n">
        <f aca="false">-AF11*Bank_Principal/Bank_Tenor</f>
        <v>-0</v>
      </c>
      <c r="AG107" s="122" t="n">
        <f aca="false">-AG11*Bank_Principal/Bank_Tenor</f>
        <v>-0</v>
      </c>
      <c r="AH107" s="122" t="n">
        <f aca="false">-AH11*Bank_Principal/Bank_Tenor</f>
        <v>-0</v>
      </c>
      <c r="AI107" s="122" t="n">
        <f aca="false">-AI11*Bank_Principal/Bank_Tenor</f>
        <v>-0</v>
      </c>
      <c r="AJ107" s="122" t="n">
        <f aca="false">-AJ11*Bank_Principal/Bank_Tenor</f>
        <v>-0</v>
      </c>
      <c r="AK107" s="122" t="n">
        <f aca="false">-AK11*Bank_Principal/Bank_Tenor</f>
        <v>-0</v>
      </c>
      <c r="AL107" s="122" t="n">
        <f aca="false">-AL11*Bank_Principal/Bank_Tenor</f>
        <v>-0</v>
      </c>
    </row>
    <row r="108" customFormat="false" ht="15" hidden="false" customHeight="false" outlineLevel="1" collapsed="false">
      <c r="C108" s="117" t="s">
        <v>336</v>
      </c>
      <c r="D108" s="117"/>
      <c r="E108" s="118" t="s">
        <v>72</v>
      </c>
      <c r="F108" s="117"/>
      <c r="G108" s="123"/>
      <c r="H108" s="119"/>
      <c r="I108" s="121" t="n">
        <f aca="false">SUM(I104:I107)</f>
        <v>19625364.4342008</v>
      </c>
      <c r="J108" s="121" t="e">
        <f aca="false">SUM(J104:J107)</f>
        <v>#VALUE!</v>
      </c>
      <c r="K108" s="121" t="e">
        <f aca="false">SUM(K104:K107)</f>
        <v>#VALUE!</v>
      </c>
      <c r="L108" s="121" t="e">
        <f aca="false">SUM(L104:L107)</f>
        <v>#VALUE!</v>
      </c>
      <c r="M108" s="121" t="e">
        <f aca="false">SUM(M104:M107)</f>
        <v>#VALUE!</v>
      </c>
      <c r="N108" s="121" t="e">
        <f aca="false">SUM(N104:N107)</f>
        <v>#VALUE!</v>
      </c>
      <c r="O108" s="121" t="e">
        <f aca="false">SUM(O104:O107)</f>
        <v>#VALUE!</v>
      </c>
      <c r="P108" s="121" t="e">
        <f aca="false">SUM(P104:P107)</f>
        <v>#VALUE!</v>
      </c>
      <c r="Q108" s="121" t="e">
        <f aca="false">SUM(Q104:Q107)</f>
        <v>#VALUE!</v>
      </c>
      <c r="R108" s="121" t="e">
        <f aca="false">SUM(R104:R107)</f>
        <v>#VALUE!</v>
      </c>
      <c r="S108" s="121" t="e">
        <f aca="false">SUM(S104:S107)</f>
        <v>#VALUE!</v>
      </c>
      <c r="T108" s="121" t="e">
        <f aca="false">SUM(T104:T107)</f>
        <v>#VALUE!</v>
      </c>
      <c r="U108" s="121" t="e">
        <f aca="false">SUM(U104:U107)</f>
        <v>#VALUE!</v>
      </c>
      <c r="V108" s="121" t="e">
        <f aca="false">SUM(V104:V107)</f>
        <v>#VALUE!</v>
      </c>
      <c r="W108" s="121" t="e">
        <f aca="false">SUM(W104:W107)</f>
        <v>#VALUE!</v>
      </c>
      <c r="X108" s="121" t="e">
        <f aca="false">SUM(X104:X107)</f>
        <v>#VALUE!</v>
      </c>
      <c r="Y108" s="121" t="e">
        <f aca="false">SUM(Y104:Y107)</f>
        <v>#VALUE!</v>
      </c>
      <c r="Z108" s="121" t="e">
        <f aca="false">SUM(Z104:Z107)</f>
        <v>#VALUE!</v>
      </c>
      <c r="AA108" s="121" t="e">
        <f aca="false">SUM(AA104:AA107)</f>
        <v>#VALUE!</v>
      </c>
      <c r="AB108" s="121" t="e">
        <f aca="false">SUM(AB104:AB107)</f>
        <v>#VALUE!</v>
      </c>
      <c r="AC108" s="121" t="e">
        <f aca="false">SUM(AC104:AC107)</f>
        <v>#VALUE!</v>
      </c>
      <c r="AD108" s="121" t="e">
        <f aca="false">SUM(AD104:AD107)</f>
        <v>#VALUE!</v>
      </c>
      <c r="AE108" s="121" t="e">
        <f aca="false">SUM(AE104:AE107)</f>
        <v>#VALUE!</v>
      </c>
      <c r="AF108" s="121" t="e">
        <f aca="false">SUM(AF104:AF107)</f>
        <v>#VALUE!</v>
      </c>
      <c r="AG108" s="121" t="e">
        <f aca="false">SUM(AG104:AG107)</f>
        <v>#VALUE!</v>
      </c>
      <c r="AH108" s="121" t="e">
        <f aca="false">SUM(AH104:AH107)</f>
        <v>#VALUE!</v>
      </c>
      <c r="AI108" s="121" t="e">
        <f aca="false">SUM(AI104:AI107)</f>
        <v>#VALUE!</v>
      </c>
      <c r="AJ108" s="121" t="e">
        <f aca="false">SUM(AJ104:AJ107)</f>
        <v>#VALUE!</v>
      </c>
      <c r="AK108" s="121" t="e">
        <f aca="false">SUM(AK104:AK107)</f>
        <v>#VALUE!</v>
      </c>
      <c r="AL108" s="121" t="e">
        <f aca="false">SUM(AL104:AL107)</f>
        <v>#VALUE!</v>
      </c>
    </row>
    <row r="109" customFormat="false" ht="15" hidden="false" customHeight="false" outlineLevel="1" collapsed="false">
      <c r="C109" s="154"/>
      <c r="D109" s="154"/>
      <c r="E109" s="155"/>
      <c r="F109" s="154"/>
      <c r="G109" s="131"/>
      <c r="H109" s="0"/>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row>
    <row r="110" customFormat="false" ht="15" hidden="false" customHeight="false" outlineLevel="1" collapsed="false">
      <c r="C110" s="0" t="s">
        <v>348</v>
      </c>
      <c r="E110" s="104" t="s">
        <v>72</v>
      </c>
      <c r="G110" s="122" t="n">
        <f aca="false">SUM(I110:AL110)</f>
        <v>-9567365.16167291</v>
      </c>
      <c r="H110" s="0"/>
      <c r="I110" s="122" t="n">
        <f aca="false">-I104*Bank_Rate*I$11</f>
        <v>0</v>
      </c>
      <c r="J110" s="122" t="n">
        <f aca="false">-J104*Bank_Rate*J11</f>
        <v>-1471902.33256506</v>
      </c>
      <c r="K110" s="122" t="e">
        <f aca="false">-K104*Bank_Rate*K11</f>
        <v>#VALUE!</v>
      </c>
      <c r="L110" s="122" t="e">
        <f aca="false">-L104*Bank_Rate*L11</f>
        <v>#VALUE!</v>
      </c>
      <c r="M110" s="122" t="e">
        <f aca="false">-M104*Bank_Rate*M11</f>
        <v>#VALUE!</v>
      </c>
      <c r="N110" s="122" t="e">
        <f aca="false">-N104*Bank_Rate*N11</f>
        <v>#VALUE!</v>
      </c>
      <c r="O110" s="122" t="e">
        <f aca="false">-O104*Bank_Rate*O11</f>
        <v>#VALUE!</v>
      </c>
      <c r="P110" s="122" t="e">
        <f aca="false">-P104*Bank_Rate*P11</f>
        <v>#VALUE!</v>
      </c>
      <c r="Q110" s="122" t="e">
        <f aca="false">-Q104*Bank_Rate*Q11</f>
        <v>#VALUE!</v>
      </c>
      <c r="R110" s="122" t="e">
        <f aca="false">-R104*Bank_Rate*R11</f>
        <v>#VALUE!</v>
      </c>
      <c r="S110" s="122" t="e">
        <f aca="false">-S104*Bank_Rate*S11</f>
        <v>#VALUE!</v>
      </c>
      <c r="T110" s="122" t="e">
        <f aca="false">-T104*Bank_Rate*T11</f>
        <v>#VALUE!</v>
      </c>
      <c r="U110" s="122" t="e">
        <f aca="false">-U104*Bank_Rate*U11</f>
        <v>#VALUE!</v>
      </c>
      <c r="V110" s="122" t="e">
        <f aca="false">-V104*Bank_Rate*V11</f>
        <v>#VALUE!</v>
      </c>
      <c r="W110" s="122" t="e">
        <f aca="false">-W104*Bank_Rate*W11</f>
        <v>#VALUE!</v>
      </c>
      <c r="X110" s="122" t="e">
        <f aca="false">-X104*Bank_Rate*X11</f>
        <v>#VALUE!</v>
      </c>
      <c r="Y110" s="122" t="e">
        <f aca="false">-Y104*Bank_Rate*Y11</f>
        <v>#VALUE!</v>
      </c>
      <c r="Z110" s="122" t="e">
        <f aca="false">-Z104*Bank_Rate*Z11</f>
        <v>#VALUE!</v>
      </c>
      <c r="AA110" s="122" t="e">
        <f aca="false">-AA104*Bank_Rate*AA11</f>
        <v>#VALUE!</v>
      </c>
      <c r="AB110" s="122" t="e">
        <f aca="false">-AB104*Bank_Rate*AB11</f>
        <v>#VALUE!</v>
      </c>
      <c r="AC110" s="122" t="e">
        <f aca="false">-AC104*Bank_Rate*AC11</f>
        <v>#VALUE!</v>
      </c>
      <c r="AD110" s="122" t="e">
        <f aca="false">-AD104*Bank_Rate*AD11</f>
        <v>#VALUE!</v>
      </c>
      <c r="AE110" s="122" t="e">
        <f aca="false">-AE104*Bank_Rate*AE11</f>
        <v>#VALUE!</v>
      </c>
      <c r="AF110" s="122" t="e">
        <f aca="false">-AF104*Bank_Rate*AF11</f>
        <v>#VALUE!</v>
      </c>
      <c r="AG110" s="122" t="e">
        <f aca="false">-AG104*Bank_Rate*AG11</f>
        <v>#VALUE!</v>
      </c>
      <c r="AH110" s="122" t="e">
        <f aca="false">-AH104*Bank_Rate*AH11</f>
        <v>#VALUE!</v>
      </c>
      <c r="AI110" s="122" t="e">
        <f aca="false">-AI104*Bank_Rate*AI11</f>
        <v>#VALUE!</v>
      </c>
      <c r="AJ110" s="122" t="e">
        <f aca="false">-AJ104*Bank_Rate*AJ11</f>
        <v>#VALUE!</v>
      </c>
      <c r="AK110" s="122" t="e">
        <f aca="false">-AK104*Bank_Rate*AK11</f>
        <v>#VALUE!</v>
      </c>
      <c r="AL110" s="122" t="e">
        <f aca="false">-AL104*Bank_Rate*AL11</f>
        <v>#VALUE!</v>
      </c>
    </row>
    <row r="111" customFormat="false" ht="15" hidden="false" customHeight="false" outlineLevel="1" collapsed="false">
      <c r="C111" s="0" t="s">
        <v>349</v>
      </c>
      <c r="E111" s="104" t="s">
        <v>72</v>
      </c>
      <c r="G111" s="122" t="n">
        <f aca="false">Bank_Principal/Bank_Tenor-SUMIF(I10:AL10,1,I110:AL110)</f>
        <v>3107349.36874847</v>
      </c>
      <c r="H111" s="0"/>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row>
    <row r="112" customFormat="false" ht="15" hidden="false" customHeight="false" outlineLevel="1" collapsed="false">
      <c r="C112" s="0" t="s">
        <v>350</v>
      </c>
      <c r="E112" s="104" t="s">
        <v>72</v>
      </c>
      <c r="G112" s="122"/>
      <c r="H112" s="0"/>
      <c r="I112" s="122" t="n">
        <f aca="false">-(I107+I110)*DSRA_Provision/12</f>
        <v>0</v>
      </c>
      <c r="J112" s="122" t="n">
        <f aca="false">-(J107+J110)*DSRA_Provision/12</f>
        <v>1553674.68437423</v>
      </c>
      <c r="K112" s="122" t="e">
        <f aca="false">-(K107+K110)*DSRA_Provision/12</f>
        <v>#VALUE!</v>
      </c>
      <c r="L112" s="122" t="e">
        <f aca="false">-(L107+L110)*DSRA_Provision/12</f>
        <v>#VALUE!</v>
      </c>
      <c r="M112" s="122" t="e">
        <f aca="false">-(M107+M110)*DSRA_Provision/12</f>
        <v>#VALUE!</v>
      </c>
      <c r="N112" s="122" t="e">
        <f aca="false">-(N107+N110)*DSRA_Provision/12</f>
        <v>#VALUE!</v>
      </c>
      <c r="O112" s="122" t="e">
        <f aca="false">-(O107+O110)*DSRA_Provision/12</f>
        <v>#VALUE!</v>
      </c>
      <c r="P112" s="122" t="e">
        <f aca="false">-(P107+P110)*DSRA_Provision/12</f>
        <v>#VALUE!</v>
      </c>
      <c r="Q112" s="122" t="e">
        <f aca="false">-(Q107+Q110)*DSRA_Provision/12</f>
        <v>#VALUE!</v>
      </c>
      <c r="R112" s="122" t="e">
        <f aca="false">-(R107+R110)*DSRA_Provision/12</f>
        <v>#VALUE!</v>
      </c>
      <c r="S112" s="122" t="e">
        <f aca="false">-(S107+S110)*DSRA_Provision/12</f>
        <v>#VALUE!</v>
      </c>
      <c r="T112" s="122" t="e">
        <f aca="false">-(T107+T110)*DSRA_Provision/12</f>
        <v>#VALUE!</v>
      </c>
      <c r="U112" s="122" t="e">
        <f aca="false">-(U107+U110)*DSRA_Provision/12</f>
        <v>#VALUE!</v>
      </c>
      <c r="V112" s="122" t="e">
        <f aca="false">-(V107+V110)*DSRA_Provision/12</f>
        <v>#VALUE!</v>
      </c>
      <c r="W112" s="122" t="e">
        <f aca="false">-(W107+W110)*DSRA_Provision/12</f>
        <v>#VALUE!</v>
      </c>
      <c r="X112" s="122" t="e">
        <f aca="false">-(X107+X110)*DSRA_Provision/12</f>
        <v>#VALUE!</v>
      </c>
      <c r="Y112" s="122" t="e">
        <f aca="false">-(Y107+Y110)*DSRA_Provision/12</f>
        <v>#VALUE!</v>
      </c>
      <c r="Z112" s="122" t="e">
        <f aca="false">-(Z107+Z110)*DSRA_Provision/12</f>
        <v>#VALUE!</v>
      </c>
      <c r="AA112" s="122" t="e">
        <f aca="false">-(AA107+AA110)*DSRA_Provision/12</f>
        <v>#VALUE!</v>
      </c>
      <c r="AB112" s="122" t="e">
        <f aca="false">-(AB107+AB110)*DSRA_Provision/12</f>
        <v>#VALUE!</v>
      </c>
      <c r="AC112" s="122" t="e">
        <f aca="false">-(AC107+AC110)*DSRA_Provision/12</f>
        <v>#VALUE!</v>
      </c>
      <c r="AD112" s="122" t="e">
        <f aca="false">-(AD107+AD110)*DSRA_Provision/12</f>
        <v>#VALUE!</v>
      </c>
      <c r="AE112" s="122" t="e">
        <f aca="false">-(AE107+AE110)*DSRA_Provision/12</f>
        <v>#VALUE!</v>
      </c>
      <c r="AF112" s="122" t="e">
        <f aca="false">-(AF107+AF110)*DSRA_Provision/12</f>
        <v>#VALUE!</v>
      </c>
      <c r="AG112" s="122" t="e">
        <f aca="false">-(AG107+AG110)*DSRA_Provision/12</f>
        <v>#VALUE!</v>
      </c>
      <c r="AH112" s="122" t="e">
        <f aca="false">-(AH107+AH110)*DSRA_Provision/12</f>
        <v>#VALUE!</v>
      </c>
      <c r="AI112" s="122" t="e">
        <f aca="false">-(AI107+AI110)*DSRA_Provision/12</f>
        <v>#VALUE!</v>
      </c>
      <c r="AJ112" s="122" t="e">
        <f aca="false">-(AJ107+AJ110)*DSRA_Provision/12</f>
        <v>#VALUE!</v>
      </c>
      <c r="AK112" s="122" t="e">
        <f aca="false">-(AK107+AK110)*DSRA_Provision/12</f>
        <v>#VALUE!</v>
      </c>
      <c r="AL112" s="122" t="e">
        <f aca="false">-(AL107+AL110)*DSRA_Provision/12</f>
        <v>#VALUE!</v>
      </c>
    </row>
    <row r="113" customFormat="false" ht="15" hidden="false" customHeight="false" outlineLevel="1" collapsed="false">
      <c r="C113" s="154"/>
      <c r="D113" s="154"/>
      <c r="E113" s="155"/>
      <c r="F113" s="154"/>
      <c r="G113" s="131"/>
      <c r="H113" s="0"/>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row>
    <row r="114" customFormat="false" ht="15" hidden="false" customHeight="false" outlineLevel="1" collapsed="false">
      <c r="B114" s="2" t="e">
        <f aca="false">(MAX($A$7:B113)+0.1)</f>
        <v>#VALUE!</v>
      </c>
      <c r="C114" s="2" t="s">
        <v>352</v>
      </c>
      <c r="E114" s="0"/>
      <c r="H114" s="0"/>
    </row>
    <row r="115" customFormat="false" ht="15" hidden="false" customHeight="false" outlineLevel="1" collapsed="false">
      <c r="E115" s="0"/>
      <c r="H115" s="0"/>
      <c r="J115" s="122"/>
      <c r="K115" s="122"/>
      <c r="L115" s="122"/>
      <c r="M115" s="122"/>
      <c r="N115" s="122"/>
      <c r="O115" s="122"/>
      <c r="P115" s="122"/>
      <c r="Q115" s="122"/>
      <c r="R115" s="122"/>
      <c r="S115" s="122"/>
      <c r="T115" s="122"/>
      <c r="U115" s="122"/>
    </row>
    <row r="116" customFormat="false" ht="15" hidden="false" customHeight="false" outlineLevel="1" collapsed="false">
      <c r="C116" s="0" t="s">
        <v>327</v>
      </c>
      <c r="E116" s="104" t="s">
        <v>72</v>
      </c>
      <c r="H116" s="0"/>
      <c r="I116" s="122" t="n">
        <f aca="false">H120</f>
        <v>0</v>
      </c>
      <c r="J116" s="122" t="n">
        <f aca="false">I120</f>
        <v>19625364.4342008</v>
      </c>
      <c r="K116" s="122" t="e">
        <f aca="false">J120</f>
        <v>#VALUE!</v>
      </c>
      <c r="L116" s="122" t="e">
        <f aca="false">K120</f>
        <v>#VALUE!</v>
      </c>
      <c r="M116" s="122" t="e">
        <f aca="false">L120</f>
        <v>#VALUE!</v>
      </c>
      <c r="N116" s="122" t="e">
        <f aca="false">M120</f>
        <v>#VALUE!</v>
      </c>
      <c r="O116" s="122" t="e">
        <f aca="false">N120</f>
        <v>#VALUE!</v>
      </c>
      <c r="P116" s="122" t="e">
        <f aca="false">O120</f>
        <v>#VALUE!</v>
      </c>
      <c r="Q116" s="122" t="e">
        <f aca="false">P120</f>
        <v>#VALUE!</v>
      </c>
      <c r="R116" s="122" t="e">
        <f aca="false">Q120</f>
        <v>#VALUE!</v>
      </c>
      <c r="S116" s="122" t="e">
        <f aca="false">R120</f>
        <v>#VALUE!</v>
      </c>
      <c r="T116" s="122" t="e">
        <f aca="false">S120</f>
        <v>#VALUE!</v>
      </c>
      <c r="U116" s="122" t="e">
        <f aca="false">T120</f>
        <v>#VALUE!</v>
      </c>
      <c r="V116" s="122" t="e">
        <f aca="false">U120</f>
        <v>#VALUE!</v>
      </c>
      <c r="W116" s="122" t="e">
        <f aca="false">V120</f>
        <v>#VALUE!</v>
      </c>
      <c r="X116" s="122" t="e">
        <f aca="false">W120</f>
        <v>#VALUE!</v>
      </c>
      <c r="Y116" s="122" t="e">
        <f aca="false">X120</f>
        <v>#VALUE!</v>
      </c>
      <c r="Z116" s="122" t="e">
        <f aca="false">Y120</f>
        <v>#VALUE!</v>
      </c>
      <c r="AA116" s="122" t="e">
        <f aca="false">Z120</f>
        <v>#VALUE!</v>
      </c>
      <c r="AB116" s="122" t="e">
        <f aca="false">AA120</f>
        <v>#VALUE!</v>
      </c>
      <c r="AC116" s="122" t="e">
        <f aca="false">AB120</f>
        <v>#VALUE!</v>
      </c>
      <c r="AD116" s="122" t="e">
        <f aca="false">AC120</f>
        <v>#VALUE!</v>
      </c>
      <c r="AE116" s="122" t="e">
        <f aca="false">AD120</f>
        <v>#VALUE!</v>
      </c>
      <c r="AF116" s="122" t="e">
        <f aca="false">AE120</f>
        <v>#VALUE!</v>
      </c>
      <c r="AG116" s="122" t="e">
        <f aca="false">AF120</f>
        <v>#VALUE!</v>
      </c>
      <c r="AH116" s="122" t="e">
        <f aca="false">AG120</f>
        <v>#VALUE!</v>
      </c>
      <c r="AI116" s="122" t="e">
        <f aca="false">AH120</f>
        <v>#VALUE!</v>
      </c>
      <c r="AJ116" s="122" t="e">
        <f aca="false">AI120</f>
        <v>#VALUE!</v>
      </c>
      <c r="AK116" s="122" t="e">
        <f aca="false">AJ120</f>
        <v>#VALUE!</v>
      </c>
      <c r="AL116" s="122" t="e">
        <f aca="false">AK120</f>
        <v>#VALUE!</v>
      </c>
    </row>
    <row r="117" customFormat="false" ht="15" hidden="false" customHeight="false" outlineLevel="1" collapsed="false">
      <c r="C117" s="0" t="s">
        <v>342</v>
      </c>
      <c r="D117" s="154"/>
      <c r="E117" s="104" t="s">
        <v>72</v>
      </c>
      <c r="G117" s="65"/>
      <c r="H117" s="0"/>
      <c r="I117" s="122" t="n">
        <f aca="false">SUM(I$60:I$66)*I$6</f>
        <v>18916013.9124827</v>
      </c>
      <c r="J117" s="122" t="e">
        <f aca="false">SUM(J$60:J$66)*J$6</f>
        <v>#VALUE!</v>
      </c>
      <c r="K117" s="122" t="e">
        <f aca="false">SUM(K$60:K$66)*K$6</f>
        <v>#VALUE!</v>
      </c>
      <c r="L117" s="122" t="e">
        <f aca="false">SUM(L$60:L$66)*L$6</f>
        <v>#VALUE!</v>
      </c>
      <c r="M117" s="122" t="e">
        <f aca="false">SUM(M$60:M$66)*M$6</f>
        <v>#VALUE!</v>
      </c>
      <c r="N117" s="122" t="e">
        <f aca="false">SUM(N$60:N$66)*N$6</f>
        <v>#VALUE!</v>
      </c>
      <c r="O117" s="122" t="e">
        <f aca="false">SUM(O$60:O$66)*O$6</f>
        <v>#VALUE!</v>
      </c>
      <c r="P117" s="122" t="e">
        <f aca="false">SUM(P$60:P$66)*P$6</f>
        <v>#VALUE!</v>
      </c>
      <c r="Q117" s="122" t="e">
        <f aca="false">SUM(Q$60:Q$66)*Q$6</f>
        <v>#VALUE!</v>
      </c>
      <c r="R117" s="122" t="e">
        <f aca="false">SUM(R$60:R$66)*R$6</f>
        <v>#VALUE!</v>
      </c>
      <c r="S117" s="122" t="e">
        <f aca="false">SUM(S$60:S$66)*S$6</f>
        <v>#VALUE!</v>
      </c>
      <c r="T117" s="122" t="e">
        <f aca="false">SUM(T$60:T$66)*T$6</f>
        <v>#VALUE!</v>
      </c>
      <c r="U117" s="122" t="e">
        <f aca="false">SUM(U$60:U$66)*U$6</f>
        <v>#VALUE!</v>
      </c>
      <c r="V117" s="122" t="e">
        <f aca="false">SUM(V$60:V$66)*V$6</f>
        <v>#VALUE!</v>
      </c>
      <c r="W117" s="122" t="e">
        <f aca="false">SUM(W$60:W$66)*W$6</f>
        <v>#VALUE!</v>
      </c>
      <c r="X117" s="122" t="e">
        <f aca="false">SUM(X$60:X$66)*X$6</f>
        <v>#VALUE!</v>
      </c>
      <c r="Y117" s="122" t="e">
        <f aca="false">SUM(Y$60:Y$66)*Y$6</f>
        <v>#VALUE!</v>
      </c>
      <c r="Z117" s="122" t="e">
        <f aca="false">SUM(Z$60:Z$66)*Z$6</f>
        <v>#VALUE!</v>
      </c>
      <c r="AA117" s="122" t="e">
        <f aca="false">SUM(AA$60:AA$66)*AA$6</f>
        <v>#VALUE!</v>
      </c>
      <c r="AB117" s="122" t="e">
        <f aca="false">SUM(AB$60:AB$66)*AB$6</f>
        <v>#VALUE!</v>
      </c>
      <c r="AC117" s="122" t="e">
        <f aca="false">SUM(AC$60:AC$66)*AC$6</f>
        <v>#VALUE!</v>
      </c>
      <c r="AD117" s="122" t="e">
        <f aca="false">SUM(AD$60:AD$66)*AD$6</f>
        <v>#VALUE!</v>
      </c>
      <c r="AE117" s="122" t="e">
        <f aca="false">SUM(AE$60:AE$66)*AE$6</f>
        <v>#VALUE!</v>
      </c>
      <c r="AF117" s="122" t="e">
        <f aca="false">SUM(AF$60:AF$66)*AF$6</f>
        <v>#VALUE!</v>
      </c>
      <c r="AG117" s="122" t="e">
        <f aca="false">SUM(AG$60:AG$66)*AG$6</f>
        <v>#VALUE!</v>
      </c>
      <c r="AH117" s="122" t="e">
        <f aca="false">SUM(AH$60:AH$66)*AH$6</f>
        <v>#VALUE!</v>
      </c>
      <c r="AI117" s="122" t="e">
        <f aca="false">SUM(AI$60:AI$66)*AI$6</f>
        <v>#VALUE!</v>
      </c>
      <c r="AJ117" s="122" t="e">
        <f aca="false">SUM(AJ$60:AJ$66)*AJ$6</f>
        <v>#VALUE!</v>
      </c>
      <c r="AK117" s="122" t="e">
        <f aca="false">SUM(AK$60:AK$66)*AK$6</f>
        <v>#VALUE!</v>
      </c>
      <c r="AL117" s="122" t="e">
        <f aca="false">SUM(AL$60:AL$66)*AL$6</f>
        <v>#VALUE!</v>
      </c>
    </row>
    <row r="118" customFormat="false" ht="15" hidden="false" customHeight="false" outlineLevel="1" collapsed="false">
      <c r="C118" s="0" t="s">
        <v>343</v>
      </c>
      <c r="D118" s="154"/>
      <c r="E118" s="104" t="s">
        <v>72</v>
      </c>
      <c r="G118" s="65"/>
      <c r="H118" s="0"/>
      <c r="I118" s="122" t="n">
        <f aca="false">SUM(I$67:I$68)*I$6</f>
        <v>709350.521718102</v>
      </c>
      <c r="J118" s="122" t="e">
        <f aca="false">SUM(J$67:J$68)*J$6</f>
        <v>#VALUE!</v>
      </c>
      <c r="K118" s="122" t="e">
        <f aca="false">SUM(K$67:K$68)*K$6</f>
        <v>#VALUE!</v>
      </c>
      <c r="L118" s="122" t="e">
        <f aca="false">SUM(L$67:L$68)*L$6</f>
        <v>#VALUE!</v>
      </c>
      <c r="M118" s="122" t="e">
        <f aca="false">SUM(M$67:M$68)*M$6</f>
        <v>#VALUE!</v>
      </c>
      <c r="N118" s="122" t="e">
        <f aca="false">SUM(N$67:N$68)*N$6</f>
        <v>#VALUE!</v>
      </c>
      <c r="O118" s="122" t="e">
        <f aca="false">SUM(O$67:O$68)*O$6</f>
        <v>#VALUE!</v>
      </c>
      <c r="P118" s="122" t="e">
        <f aca="false">SUM(P$67:P$68)*P$6</f>
        <v>#VALUE!</v>
      </c>
      <c r="Q118" s="122" t="e">
        <f aca="false">SUM(Q$67:Q$68)*Q$6</f>
        <v>#VALUE!</v>
      </c>
      <c r="R118" s="122" t="e">
        <f aca="false">SUM(R$67:R$68)*R$6</f>
        <v>#VALUE!</v>
      </c>
      <c r="S118" s="122" t="e">
        <f aca="false">SUM(S$67:S$68)*S$6</f>
        <v>#VALUE!</v>
      </c>
      <c r="T118" s="122" t="e">
        <f aca="false">SUM(T$67:T$68)*T$6</f>
        <v>#VALUE!</v>
      </c>
      <c r="U118" s="122" t="e">
        <f aca="false">SUM(U$67:U$68)*U$6</f>
        <v>#VALUE!</v>
      </c>
      <c r="V118" s="122" t="e">
        <f aca="false">SUM(V$67:V$68)*V$6</f>
        <v>#VALUE!</v>
      </c>
      <c r="W118" s="122" t="e">
        <f aca="false">SUM(W$67:W$68)*W$6</f>
        <v>#VALUE!</v>
      </c>
      <c r="X118" s="122" t="e">
        <f aca="false">SUM(X$67:X$68)*X$6</f>
        <v>#VALUE!</v>
      </c>
      <c r="Y118" s="122" t="e">
        <f aca="false">SUM(Y$67:Y$68)*Y$6</f>
        <v>#VALUE!</v>
      </c>
      <c r="Z118" s="122" t="e">
        <f aca="false">SUM(Z$67:Z$68)*Z$6</f>
        <v>#VALUE!</v>
      </c>
      <c r="AA118" s="122" t="e">
        <f aca="false">SUM(AA$67:AA$68)*AA$6</f>
        <v>#VALUE!</v>
      </c>
      <c r="AB118" s="122" t="e">
        <f aca="false">SUM(AB$67:AB$68)*AB$6</f>
        <v>#VALUE!</v>
      </c>
      <c r="AC118" s="122" t="e">
        <f aca="false">SUM(AC$67:AC$68)*AC$6</f>
        <v>#VALUE!</v>
      </c>
      <c r="AD118" s="122" t="e">
        <f aca="false">SUM(AD$67:AD$68)*AD$6</f>
        <v>#VALUE!</v>
      </c>
      <c r="AE118" s="122" t="e">
        <f aca="false">SUM(AE$67:AE$68)*AE$6</f>
        <v>#VALUE!</v>
      </c>
      <c r="AF118" s="122" t="e">
        <f aca="false">SUM(AF$67:AF$68)*AF$6</f>
        <v>#VALUE!</v>
      </c>
      <c r="AG118" s="122" t="e">
        <f aca="false">SUM(AG$67:AG$68)*AG$6</f>
        <v>#VALUE!</v>
      </c>
      <c r="AH118" s="122" t="e">
        <f aca="false">SUM(AH$67:AH$68)*AH$6</f>
        <v>#VALUE!</v>
      </c>
      <c r="AI118" s="122" t="e">
        <f aca="false">SUM(AI$67:AI$68)*AI$6</f>
        <v>#VALUE!</v>
      </c>
      <c r="AJ118" s="122" t="e">
        <f aca="false">SUM(AJ$67:AJ$68)*AJ$6</f>
        <v>#VALUE!</v>
      </c>
      <c r="AK118" s="122" t="e">
        <f aca="false">SUM(AK$67:AK$68)*AK$6</f>
        <v>#VALUE!</v>
      </c>
      <c r="AL118" s="122" t="e">
        <f aca="false">SUM(AL$67:AL$68)*AL$6</f>
        <v>#VALUE!</v>
      </c>
    </row>
    <row r="119" customFormat="false" ht="15" hidden="false" customHeight="false" outlineLevel="1" collapsed="false">
      <c r="C119" s="0" t="s">
        <v>344</v>
      </c>
      <c r="E119" s="104" t="s">
        <v>72</v>
      </c>
      <c r="G119" s="122" t="n">
        <f aca="false">SUM(I119:AL119)</f>
        <v>-19625364.4342008</v>
      </c>
      <c r="H119" s="0"/>
      <c r="I119" s="122" t="n">
        <f aca="false">IFERROR(PPMT(Bank_Rate,I10,Bank_Tenor,I69),0)</f>
        <v>0</v>
      </c>
      <c r="J119" s="122" t="n">
        <f aca="false">IFERROR(PPMT(Bank_Rate,J10,Bank_Tenor,J69),0)</f>
        <v>0</v>
      </c>
      <c r="K119" s="122" t="n">
        <f aca="false">IFERROR(PPMT(Bank_Rate,K10,Bank_Tenor,K69),0)</f>
        <v>0</v>
      </c>
      <c r="L119" s="122" t="n">
        <f aca="false">IFERROR(PPMT(Bank_Rate,L10,Bank_Tenor,L69),0)</f>
        <v>0</v>
      </c>
      <c r="M119" s="122" t="n">
        <f aca="false">IFERROR(PPMT(Bank_Rate,M10,Bank_Tenor,M69),0)</f>
        <v>0</v>
      </c>
      <c r="N119" s="122" t="n">
        <f aca="false">IFERROR(PPMT(Bank_Rate,N10,Bank_Tenor,N69),0)</f>
        <v>0</v>
      </c>
      <c r="O119" s="122" t="n">
        <f aca="false">IFERROR(PPMT(Bank_Rate,O10,Bank_Tenor,O69),0)</f>
        <v>0</v>
      </c>
      <c r="P119" s="122" t="n">
        <f aca="false">IFERROR(PPMT(Bank_Rate,P10,Bank_Tenor,P69),0)</f>
        <v>0</v>
      </c>
      <c r="Q119" s="122" t="n">
        <f aca="false">IFERROR(PPMT(Bank_Rate,Q10,Bank_Tenor,Q69),0)</f>
        <v>0</v>
      </c>
      <c r="R119" s="122" t="n">
        <f aca="false">IFERROR(PPMT(Bank_Rate,R10,Bank_Tenor,R69),0)</f>
        <v>0</v>
      </c>
      <c r="S119" s="122" t="n">
        <f aca="false">IFERROR(PPMT(Bank_Rate,S10,Bank_Tenor,S69),0)</f>
        <v>0</v>
      </c>
      <c r="T119" s="122" t="n">
        <f aca="false">IFERROR(PPMT(Bank_Rate,T10,Bank_Tenor,T69),0)</f>
        <v>0</v>
      </c>
      <c r="U119" s="122" t="n">
        <f aca="false">IFERROR(PPMT(Bank_Rate,U10,Bank_Tenor,U69),0)</f>
        <v>0</v>
      </c>
      <c r="V119" s="122" t="n">
        <f aca="false">IFERROR(PPMT(Bank_Rate,V10,Bank_Tenor,V69),0)</f>
        <v>0</v>
      </c>
      <c r="W119" s="122" t="n">
        <f aca="false">IFERROR(PPMT(Bank_Rate,W10,Bank_Tenor,W69),0)</f>
        <v>0</v>
      </c>
      <c r="X119" s="122" t="n">
        <f aca="false">IFERROR(PPMT(Bank_Rate,X10,Bank_Tenor,X69),0)</f>
        <v>0</v>
      </c>
      <c r="Y119" s="122" t="n">
        <f aca="false">IFERROR(PPMT(Bank_Rate,Y10,Bank_Tenor,Y69),0)</f>
        <v>0</v>
      </c>
      <c r="Z119" s="122" t="n">
        <f aca="false">IFERROR(PPMT(Bank_Rate,Z10,Bank_Tenor,Z69),0)</f>
        <v>0</v>
      </c>
      <c r="AA119" s="122" t="n">
        <f aca="false">IFERROR(PPMT(Bank_Rate,AA10,Bank_Tenor,AA69),0)</f>
        <v>0</v>
      </c>
      <c r="AB119" s="122" t="n">
        <f aca="false">IFERROR(PPMT(Bank_Rate,AB10,Bank_Tenor,AB69),0)</f>
        <v>0</v>
      </c>
      <c r="AC119" s="122" t="n">
        <f aca="false">IFERROR(PPMT(Bank_Rate,AC10,Bank_Tenor,AC69),0)</f>
        <v>0</v>
      </c>
      <c r="AD119" s="122" t="n">
        <f aca="false">IFERROR(PPMT(Bank_Rate,AD10,Bank_Tenor,AD69),0)</f>
        <v>0</v>
      </c>
      <c r="AE119" s="122" t="n">
        <f aca="false">IFERROR(PPMT(Bank_Rate,AE10,Bank_Tenor,AE69),0)</f>
        <v>0</v>
      </c>
      <c r="AF119" s="122" t="n">
        <f aca="false">IFERROR(PPMT(Bank_Rate,AF10,Bank_Tenor,AF69),0)</f>
        <v>0</v>
      </c>
      <c r="AG119" s="122" t="n">
        <f aca="false">IFERROR(PPMT(Bank_Rate,AG10,Bank_Tenor,AG69),0)</f>
        <v>0</v>
      </c>
      <c r="AH119" s="122" t="n">
        <f aca="false">IFERROR(PPMT(Bank_Rate,AH10,Bank_Tenor,AH69),0)</f>
        <v>0</v>
      </c>
      <c r="AI119" s="122" t="n">
        <f aca="false">IFERROR(PPMT(Bank_Rate,AI10,Bank_Tenor,AI69),0)</f>
        <v>0</v>
      </c>
      <c r="AJ119" s="122" t="n">
        <f aca="false">IFERROR(PPMT(Bank_Rate,AJ10,Bank_Tenor,AJ69),0)</f>
        <v>0</v>
      </c>
      <c r="AK119" s="122" t="n">
        <f aca="false">IFERROR(PPMT(Bank_Rate,AK10,Bank_Tenor,AK69),0)</f>
        <v>0</v>
      </c>
      <c r="AL119" s="122" t="n">
        <f aca="false">IFERROR(PPMT(Bank_Rate,AL10,Bank_Tenor,AL69),0)</f>
        <v>0</v>
      </c>
    </row>
    <row r="120" customFormat="false" ht="15" hidden="false" customHeight="false" outlineLevel="1" collapsed="false">
      <c r="C120" s="117" t="s">
        <v>336</v>
      </c>
      <c r="D120" s="117"/>
      <c r="E120" s="118" t="s">
        <v>72</v>
      </c>
      <c r="F120" s="117"/>
      <c r="G120" s="117"/>
      <c r="H120" s="119"/>
      <c r="I120" s="160" t="n">
        <f aca="false">SUM(I116:I119)</f>
        <v>19625364.4342008</v>
      </c>
      <c r="J120" s="121" t="e">
        <f aca="false">SUM(J116:J119)</f>
        <v>#VALUE!</v>
      </c>
      <c r="K120" s="121" t="e">
        <f aca="false">SUM(K116:K119)</f>
        <v>#VALUE!</v>
      </c>
      <c r="L120" s="121" t="e">
        <f aca="false">SUM(L116:L119)</f>
        <v>#VALUE!</v>
      </c>
      <c r="M120" s="121" t="e">
        <f aca="false">SUM(M116:M119)</f>
        <v>#VALUE!</v>
      </c>
      <c r="N120" s="121" t="e">
        <f aca="false">SUM(N116:N119)</f>
        <v>#VALUE!</v>
      </c>
      <c r="O120" s="121" t="e">
        <f aca="false">SUM(O116:O119)</f>
        <v>#VALUE!</v>
      </c>
      <c r="P120" s="121" t="e">
        <f aca="false">SUM(P116:P119)</f>
        <v>#VALUE!</v>
      </c>
      <c r="Q120" s="121" t="e">
        <f aca="false">SUM(Q116:Q119)</f>
        <v>#VALUE!</v>
      </c>
      <c r="R120" s="121" t="e">
        <f aca="false">SUM(R116:R119)</f>
        <v>#VALUE!</v>
      </c>
      <c r="S120" s="121" t="e">
        <f aca="false">SUM(S116:S119)</f>
        <v>#VALUE!</v>
      </c>
      <c r="T120" s="121" t="e">
        <f aca="false">SUM(T116:T119)</f>
        <v>#VALUE!</v>
      </c>
      <c r="U120" s="121" t="e">
        <f aca="false">SUM(U116:U119)</f>
        <v>#VALUE!</v>
      </c>
      <c r="V120" s="121" t="e">
        <f aca="false">SUM(V116:V119)</f>
        <v>#VALUE!</v>
      </c>
      <c r="W120" s="121" t="e">
        <f aca="false">SUM(W116:W119)</f>
        <v>#VALUE!</v>
      </c>
      <c r="X120" s="121" t="e">
        <f aca="false">SUM(X116:X119)</f>
        <v>#VALUE!</v>
      </c>
      <c r="Y120" s="121" t="e">
        <f aca="false">SUM(Y116:Y119)</f>
        <v>#VALUE!</v>
      </c>
      <c r="Z120" s="121" t="e">
        <f aca="false">SUM(Z116:Z119)</f>
        <v>#VALUE!</v>
      </c>
      <c r="AA120" s="121" t="e">
        <f aca="false">SUM(AA116:AA119)</f>
        <v>#VALUE!</v>
      </c>
      <c r="AB120" s="121" t="e">
        <f aca="false">SUM(AB116:AB119)</f>
        <v>#VALUE!</v>
      </c>
      <c r="AC120" s="121" t="e">
        <f aca="false">SUM(AC116:AC119)</f>
        <v>#VALUE!</v>
      </c>
      <c r="AD120" s="121" t="e">
        <f aca="false">SUM(AD116:AD119)</f>
        <v>#VALUE!</v>
      </c>
      <c r="AE120" s="121" t="e">
        <f aca="false">SUM(AE116:AE119)</f>
        <v>#VALUE!</v>
      </c>
      <c r="AF120" s="121" t="e">
        <f aca="false">SUM(AF116:AF119)</f>
        <v>#VALUE!</v>
      </c>
      <c r="AG120" s="121" t="e">
        <f aca="false">SUM(AG116:AG119)</f>
        <v>#VALUE!</v>
      </c>
      <c r="AH120" s="121" t="e">
        <f aca="false">SUM(AH116:AH119)</f>
        <v>#VALUE!</v>
      </c>
      <c r="AI120" s="121" t="e">
        <f aca="false">SUM(AI116:AI119)</f>
        <v>#VALUE!</v>
      </c>
      <c r="AJ120" s="121" t="e">
        <f aca="false">SUM(AJ116:AJ119)</f>
        <v>#VALUE!</v>
      </c>
      <c r="AK120" s="121" t="e">
        <f aca="false">SUM(AK116:AK119)</f>
        <v>#VALUE!</v>
      </c>
      <c r="AL120" s="121" t="e">
        <f aca="false">SUM(AL116:AL119)</f>
        <v>#VALUE!</v>
      </c>
    </row>
    <row r="122" customFormat="false" ht="15" hidden="false" customHeight="false" outlineLevel="1" collapsed="false">
      <c r="C122" s="0" t="s">
        <v>348</v>
      </c>
      <c r="E122" s="104" t="s">
        <v>72</v>
      </c>
      <c r="G122" s="122" t="n">
        <f aca="false">SUM(I122:AL122)</f>
        <v>-10820130.201263</v>
      </c>
      <c r="H122" s="0"/>
      <c r="I122" s="122" t="n">
        <f aca="false">IFERROR(IPMT(Bank_Rate,I10,Bank_Tenor,I69),0)</f>
        <v>0</v>
      </c>
      <c r="J122" s="122" t="n">
        <f aca="false">IFERROR(IPMT(Bank_Rate,J10,Bank_Tenor,J69),0)</f>
        <v>0</v>
      </c>
      <c r="K122" s="122" t="n">
        <f aca="false">IFERROR(IPMT(Bank_Rate,K10,Bank_Tenor,K69),0)</f>
        <v>0</v>
      </c>
      <c r="L122" s="122" t="n">
        <f aca="false">IFERROR(IPMT(Bank_Rate,L10,Bank_Tenor,L69),0)</f>
        <v>0</v>
      </c>
      <c r="M122" s="122" t="n">
        <f aca="false">IFERROR(IPMT(Bank_Rate,M10,Bank_Tenor,M69),0)</f>
        <v>0</v>
      </c>
      <c r="N122" s="122" t="n">
        <f aca="false">IFERROR(IPMT(Bank_Rate,N10,Bank_Tenor,N69),0)</f>
        <v>0</v>
      </c>
      <c r="O122" s="122" t="n">
        <f aca="false">IFERROR(IPMT(Bank_Rate,O10,Bank_Tenor,O69),0)</f>
        <v>0</v>
      </c>
      <c r="P122" s="122" t="n">
        <f aca="false">IFERROR(IPMT(Bank_Rate,P10,Bank_Tenor,P69),0)</f>
        <v>0</v>
      </c>
      <c r="Q122" s="122" t="n">
        <f aca="false">IFERROR(IPMT(Bank_Rate,Q10,Bank_Tenor,Q69),0)</f>
        <v>0</v>
      </c>
      <c r="R122" s="122" t="n">
        <f aca="false">IFERROR(IPMT(Bank_Rate,R10,Bank_Tenor,R69),0)</f>
        <v>0</v>
      </c>
      <c r="S122" s="122" t="n">
        <f aca="false">IFERROR(IPMT(Bank_Rate,S10,Bank_Tenor,S69),0)</f>
        <v>0</v>
      </c>
      <c r="T122" s="122" t="n">
        <f aca="false">IFERROR(IPMT(Bank_Rate,T10,Bank_Tenor,T69),0)</f>
        <v>0</v>
      </c>
      <c r="U122" s="122" t="n">
        <f aca="false">IFERROR(IPMT(Bank_Rate,U10,Bank_Tenor,U69),0)</f>
        <v>0</v>
      </c>
      <c r="V122" s="122" t="n">
        <f aca="false">IFERROR(IPMT(Bank_Rate,V10,Bank_Tenor,V69),0)</f>
        <v>0</v>
      </c>
      <c r="W122" s="122" t="n">
        <f aca="false">IFERROR(IPMT(Bank_Rate,W10,Bank_Tenor,W69),0)</f>
        <v>0</v>
      </c>
      <c r="X122" s="122" t="n">
        <f aca="false">IFERROR(IPMT(Bank_Rate,X10,Bank_Tenor,X69),0)</f>
        <v>0</v>
      </c>
      <c r="Y122" s="122" t="n">
        <f aca="false">IFERROR(IPMT(Bank_Rate,Y10,Bank_Tenor,Y69),0)</f>
        <v>0</v>
      </c>
      <c r="Z122" s="122" t="n">
        <f aca="false">IFERROR(IPMT(Bank_Rate,Z10,Bank_Tenor,Z69),0)</f>
        <v>0</v>
      </c>
      <c r="AA122" s="122" t="n">
        <f aca="false">IFERROR(IPMT(Bank_Rate,AA10,Bank_Tenor,AA69),0)</f>
        <v>0</v>
      </c>
      <c r="AB122" s="122" t="n">
        <f aca="false">IFERROR(IPMT(Bank_Rate,AB10,Bank_Tenor,AB69),0)</f>
        <v>0</v>
      </c>
      <c r="AC122" s="122" t="n">
        <f aca="false">IFERROR(IPMT(Bank_Rate,AC10,Bank_Tenor,AC69),0)</f>
        <v>0</v>
      </c>
      <c r="AD122" s="122" t="n">
        <f aca="false">IFERROR(IPMT(Bank_Rate,AD10,Bank_Tenor,AD69),0)</f>
        <v>0</v>
      </c>
      <c r="AE122" s="122" t="n">
        <f aca="false">IFERROR(IPMT(Bank_Rate,AE10,Bank_Tenor,AE69),0)</f>
        <v>0</v>
      </c>
      <c r="AF122" s="122" t="n">
        <f aca="false">IFERROR(IPMT(Bank_Rate,AF10,Bank_Tenor,AF69),0)</f>
        <v>0</v>
      </c>
      <c r="AG122" s="122" t="n">
        <f aca="false">IFERROR(IPMT(Bank_Rate,AG10,Bank_Tenor,AG69),0)</f>
        <v>0</v>
      </c>
      <c r="AH122" s="122" t="n">
        <f aca="false">IFERROR(IPMT(Bank_Rate,AH10,Bank_Tenor,AH69),0)</f>
        <v>0</v>
      </c>
      <c r="AI122" s="122" t="n">
        <f aca="false">IFERROR(IPMT(Bank_Rate,AI10,Bank_Tenor,AI69),0)</f>
        <v>0</v>
      </c>
      <c r="AJ122" s="122" t="n">
        <f aca="false">IFERROR(IPMT(Bank_Rate,AJ10,Bank_Tenor,AJ69),0)</f>
        <v>0</v>
      </c>
      <c r="AK122" s="122" t="n">
        <f aca="false">IFERROR(IPMT(Bank_Rate,AK10,Bank_Tenor,AK69),0)</f>
        <v>0</v>
      </c>
      <c r="AL122" s="122" t="n">
        <f aca="false">IFERROR(IPMT(Bank_Rate,AL10,Bank_Tenor,AL69),0)</f>
        <v>0</v>
      </c>
    </row>
    <row r="124" customFormat="false" ht="15" hidden="false" customHeight="false" outlineLevel="1" collapsed="false">
      <c r="B124" s="2"/>
      <c r="C124" s="0" t="s">
        <v>353</v>
      </c>
      <c r="E124" s="104" t="s">
        <v>72</v>
      </c>
      <c r="G124" s="122"/>
      <c r="H124" s="0"/>
      <c r="I124" s="122" t="n">
        <f aca="false">I119+I122</f>
        <v>0</v>
      </c>
      <c r="J124" s="122" t="n">
        <f aca="false">J119+J122</f>
        <v>0</v>
      </c>
      <c r="K124" s="122" t="n">
        <f aca="false">K119+K122</f>
        <v>0</v>
      </c>
      <c r="L124" s="122" t="n">
        <f aca="false">L119+L122</f>
        <v>0</v>
      </c>
      <c r="M124" s="122" t="n">
        <f aca="false">M119+M122</f>
        <v>0</v>
      </c>
      <c r="N124" s="122" t="n">
        <f aca="false">N119+N122</f>
        <v>0</v>
      </c>
      <c r="O124" s="122" t="n">
        <f aca="false">O119+O122</f>
        <v>0</v>
      </c>
      <c r="P124" s="122" t="n">
        <f aca="false">P119+P122</f>
        <v>0</v>
      </c>
      <c r="Q124" s="122" t="n">
        <f aca="false">Q119+Q122</f>
        <v>0</v>
      </c>
      <c r="R124" s="122" t="n">
        <f aca="false">R119+R122</f>
        <v>0</v>
      </c>
      <c r="S124" s="122" t="n">
        <f aca="false">S119+S122</f>
        <v>0</v>
      </c>
      <c r="T124" s="122" t="n">
        <f aca="false">T119+T122</f>
        <v>0</v>
      </c>
      <c r="U124" s="122" t="n">
        <f aca="false">U119+U122</f>
        <v>0</v>
      </c>
      <c r="V124" s="122" t="n">
        <f aca="false">V119+V122</f>
        <v>0</v>
      </c>
      <c r="W124" s="122" t="n">
        <f aca="false">W119+W122</f>
        <v>0</v>
      </c>
      <c r="X124" s="122" t="n">
        <f aca="false">X119+X122</f>
        <v>0</v>
      </c>
      <c r="Y124" s="122" t="n">
        <f aca="false">Y119+Y122</f>
        <v>0</v>
      </c>
      <c r="Z124" s="122" t="n">
        <f aca="false">Z119+Z122</f>
        <v>0</v>
      </c>
      <c r="AA124" s="122" t="n">
        <f aca="false">AA119+AA122</f>
        <v>0</v>
      </c>
      <c r="AB124" s="122" t="n">
        <f aca="false">AB119+AB122</f>
        <v>0</v>
      </c>
      <c r="AC124" s="122" t="n">
        <f aca="false">AC119+AC122</f>
        <v>0</v>
      </c>
      <c r="AD124" s="122" t="n">
        <f aca="false">AD119+AD122</f>
        <v>0</v>
      </c>
      <c r="AE124" s="122" t="n">
        <f aca="false">AE119+AE122</f>
        <v>0</v>
      </c>
      <c r="AF124" s="122" t="n">
        <f aca="false">AF119+AF122</f>
        <v>0</v>
      </c>
      <c r="AG124" s="122" t="n">
        <f aca="false">AG119+AG122</f>
        <v>0</v>
      </c>
      <c r="AH124" s="122" t="n">
        <f aca="false">AH119+AH122</f>
        <v>0</v>
      </c>
      <c r="AI124" s="122" t="n">
        <f aca="false">AI119+AI122</f>
        <v>0</v>
      </c>
      <c r="AJ124" s="122" t="n">
        <f aca="false">AJ119+AJ122</f>
        <v>0</v>
      </c>
      <c r="AK124" s="122" t="n">
        <f aca="false">AK119+AK122</f>
        <v>0</v>
      </c>
      <c r="AL124" s="122" t="n">
        <f aca="false">AL119+AL122</f>
        <v>0</v>
      </c>
    </row>
    <row r="125" customFormat="false" ht="15" hidden="false" customHeight="false" outlineLevel="1" collapsed="false">
      <c r="B125" s="2"/>
      <c r="C125" s="0" t="s">
        <v>350</v>
      </c>
      <c r="E125" s="104" t="s">
        <v>72</v>
      </c>
      <c r="G125" s="122"/>
      <c r="H125" s="0"/>
      <c r="I125" s="122" t="n">
        <f aca="false">-I124*DSRA_Provision/12</f>
        <v>-0</v>
      </c>
      <c r="J125" s="122" t="n">
        <f aca="false">-J124*DSRA_Provision/12</f>
        <v>-0</v>
      </c>
      <c r="K125" s="122" t="n">
        <f aca="false">-K124*DSRA_Provision/12</f>
        <v>-0</v>
      </c>
      <c r="L125" s="122" t="n">
        <f aca="false">-L124*DSRA_Provision/12</f>
        <v>-0</v>
      </c>
      <c r="M125" s="122" t="n">
        <f aca="false">-M124*DSRA_Provision/12</f>
        <v>-0</v>
      </c>
      <c r="N125" s="122" t="n">
        <f aca="false">-N124*DSRA_Provision/12</f>
        <v>-0</v>
      </c>
      <c r="O125" s="122" t="n">
        <f aca="false">-O124*DSRA_Provision/12</f>
        <v>-0</v>
      </c>
      <c r="P125" s="122" t="n">
        <f aca="false">-P124*DSRA_Provision/12</f>
        <v>-0</v>
      </c>
      <c r="Q125" s="122" t="n">
        <f aca="false">-Q124*DSRA_Provision/12</f>
        <v>-0</v>
      </c>
      <c r="R125" s="122" t="n">
        <f aca="false">-R124*DSRA_Provision/12</f>
        <v>-0</v>
      </c>
      <c r="S125" s="122" t="n">
        <f aca="false">-S124*DSRA_Provision/12</f>
        <v>-0</v>
      </c>
      <c r="T125" s="122" t="n">
        <f aca="false">-T124*DSRA_Provision/12</f>
        <v>-0</v>
      </c>
      <c r="U125" s="122" t="n">
        <f aca="false">-U124*DSRA_Provision/12</f>
        <v>-0</v>
      </c>
      <c r="V125" s="122" t="n">
        <f aca="false">-V124*DSRA_Provision/12</f>
        <v>-0</v>
      </c>
      <c r="W125" s="122" t="n">
        <f aca="false">-W124*DSRA_Provision/12</f>
        <v>-0</v>
      </c>
      <c r="X125" s="122" t="n">
        <f aca="false">-X124*DSRA_Provision/12</f>
        <v>-0</v>
      </c>
      <c r="Y125" s="122" t="n">
        <f aca="false">-Y124*DSRA_Provision/12</f>
        <v>-0</v>
      </c>
      <c r="Z125" s="122" t="n">
        <f aca="false">-Z124*DSRA_Provision/12</f>
        <v>-0</v>
      </c>
      <c r="AA125" s="122" t="n">
        <f aca="false">-AA124*DSRA_Provision/12</f>
        <v>-0</v>
      </c>
      <c r="AB125" s="122" t="n">
        <f aca="false">-AB124*DSRA_Provision/12</f>
        <v>-0</v>
      </c>
      <c r="AC125" s="122" t="n">
        <f aca="false">-AC124*DSRA_Provision/12</f>
        <v>-0</v>
      </c>
      <c r="AD125" s="122" t="n">
        <f aca="false">-AD124*DSRA_Provision/12</f>
        <v>-0</v>
      </c>
      <c r="AE125" s="122" t="n">
        <f aca="false">-AE124*DSRA_Provision/12</f>
        <v>-0</v>
      </c>
      <c r="AF125" s="122" t="n">
        <f aca="false">-AF124*DSRA_Provision/12</f>
        <v>-0</v>
      </c>
      <c r="AG125" s="122" t="n">
        <f aca="false">-AG124*DSRA_Provision/12</f>
        <v>-0</v>
      </c>
      <c r="AH125" s="122" t="n">
        <f aca="false">-AH124*DSRA_Provision/12</f>
        <v>-0</v>
      </c>
      <c r="AI125" s="122" t="n">
        <f aca="false">-AI124*DSRA_Provision/12</f>
        <v>-0</v>
      </c>
      <c r="AJ125" s="122" t="n">
        <f aca="false">-AJ124*DSRA_Provision/12</f>
        <v>-0</v>
      </c>
      <c r="AK125" s="122" t="n">
        <f aca="false">-AK124*DSRA_Provision/12</f>
        <v>-0</v>
      </c>
      <c r="AL125" s="122" t="n">
        <f aca="false">-AL124*DSRA_Provision/12</f>
        <v>-0</v>
      </c>
    </row>
    <row r="126" customFormat="false" ht="15" hidden="false" customHeight="false" outlineLevel="1" collapsed="false">
      <c r="E126" s="0"/>
      <c r="H126" s="0"/>
      <c r="I126" s="65"/>
    </row>
    <row r="127" s="30" customFormat="true" ht="16.9" hidden="false" customHeight="true" outlineLevel="0" collapsed="false">
      <c r="A127" s="30" t="n">
        <f aca="false">COUNT($A$6:A126)+1</f>
        <v>3</v>
      </c>
      <c r="C127" s="30" t="s">
        <v>354</v>
      </c>
      <c r="E127" s="31"/>
      <c r="H127" s="112"/>
    </row>
    <row r="128" s="157" customFormat="true" ht="14.65" hidden="false" customHeight="true" outlineLevel="0" collapsed="false">
      <c r="E128" s="159"/>
      <c r="H128" s="161"/>
    </row>
    <row r="129" customFormat="false" ht="14.65" hidden="false" customHeight="true" outlineLevel="0" collapsed="false">
      <c r="A129" s="157"/>
      <c r="B129" s="157"/>
      <c r="C129" s="157" t="s">
        <v>338</v>
      </c>
      <c r="D129" s="157"/>
      <c r="E129" s="104" t="s">
        <v>72</v>
      </c>
      <c r="F129" s="157"/>
      <c r="G129" s="157"/>
      <c r="H129" s="161"/>
      <c r="I129" s="122" t="n">
        <f aca="false">IF(Equity_Loan_Terms="amortization",I144,I158)</f>
        <v>0</v>
      </c>
      <c r="J129" s="122" t="n">
        <f aca="false">IF(Equity_Loan_Terms="amortization",J144,J158)</f>
        <v>0</v>
      </c>
      <c r="K129" s="122" t="n">
        <f aca="false">IF(Equity_Loan_Terms="amortization",K144,K158)</f>
        <v>0</v>
      </c>
      <c r="L129" s="122" t="n">
        <f aca="false">IF(Equity_Loan_Terms="amortization",L144,L158)</f>
        <v>0</v>
      </c>
      <c r="M129" s="122" t="n">
        <f aca="false">IF(Equity_Loan_Terms="amortization",M144,M158)</f>
        <v>0</v>
      </c>
      <c r="N129" s="122" t="n">
        <f aca="false">IF(Equity_Loan_Terms="amortization",N144,N158)</f>
        <v>0</v>
      </c>
      <c r="O129" s="122" t="n">
        <f aca="false">IF(Equity_Loan_Terms="amortization",O144,O158)</f>
        <v>0</v>
      </c>
      <c r="P129" s="122" t="n">
        <f aca="false">IF(Equity_Loan_Terms="amortization",P144,P158)</f>
        <v>0</v>
      </c>
      <c r="Q129" s="122" t="n">
        <f aca="false">IF(Equity_Loan_Terms="amortization",Q144,Q158)</f>
        <v>0</v>
      </c>
      <c r="R129" s="122" t="n">
        <f aca="false">IF(Equity_Loan_Terms="amortization",R144,R158)</f>
        <v>0</v>
      </c>
      <c r="S129" s="122" t="n">
        <f aca="false">IF(Equity_Loan_Terms="amortization",S144,S158)</f>
        <v>0</v>
      </c>
      <c r="T129" s="122" t="n">
        <f aca="false">IF(Equity_Loan_Terms="amortization",T144,T158)</f>
        <v>0</v>
      </c>
      <c r="U129" s="122" t="n">
        <f aca="false">IF(Equity_Loan_Terms="amortization",U144,U158)</f>
        <v>0</v>
      </c>
      <c r="V129" s="122" t="n">
        <f aca="false">IF(Equity_Loan_Terms="amortization",V144,V158)</f>
        <v>0</v>
      </c>
      <c r="W129" s="122" t="n">
        <f aca="false">IF(Equity_Loan_Terms="amortization",W144,W158)</f>
        <v>0</v>
      </c>
      <c r="X129" s="122" t="n">
        <f aca="false">IF(Equity_Loan_Terms="amortization",X144,X158)</f>
        <v>0</v>
      </c>
      <c r="Y129" s="122" t="n">
        <f aca="false">IF(Equity_Loan_Terms="amortization",Y144,Y158)</f>
        <v>0</v>
      </c>
      <c r="Z129" s="122" t="n">
        <f aca="false">IF(Equity_Loan_Terms="amortization",Z144,Z158)</f>
        <v>0</v>
      </c>
      <c r="AA129" s="122" t="n">
        <f aca="false">IF(Equity_Loan_Terms="amortization",AA144,AA158)</f>
        <v>0</v>
      </c>
      <c r="AB129" s="122" t="n">
        <f aca="false">IF(Equity_Loan_Terms="amortization",AB144,AB158)</f>
        <v>0</v>
      </c>
      <c r="AC129" s="122" t="n">
        <f aca="false">IF(Equity_Loan_Terms="amortization",AC144,AC158)</f>
        <v>0</v>
      </c>
      <c r="AD129" s="122" t="n">
        <f aca="false">IF(Equity_Loan_Terms="amortization",AD144,AD158)</f>
        <v>0</v>
      </c>
      <c r="AE129" s="122" t="n">
        <f aca="false">IF(Equity_Loan_Terms="amortization",AE144,AE158)</f>
        <v>0</v>
      </c>
      <c r="AF129" s="122" t="n">
        <f aca="false">IF(Equity_Loan_Terms="amortization",AF144,AF158)</f>
        <v>0</v>
      </c>
      <c r="AG129" s="122" t="n">
        <f aca="false">IF(Equity_Loan_Terms="amortization",AG144,AG158)</f>
        <v>0</v>
      </c>
      <c r="AH129" s="122" t="n">
        <f aca="false">IF(Equity_Loan_Terms="amortization",AH144,AH158)</f>
        <v>0</v>
      </c>
      <c r="AI129" s="122" t="n">
        <f aca="false">IF(Equity_Loan_Terms="amortization",AI144,AI158)</f>
        <v>0</v>
      </c>
      <c r="AJ129" s="122" t="n">
        <f aca="false">IF(Equity_Loan_Terms="amortization",AJ144,AJ158)</f>
        <v>0</v>
      </c>
      <c r="AK129" s="122" t="n">
        <f aca="false">IF(Equity_Loan_Terms="amortization",AK144,AK158)</f>
        <v>0</v>
      </c>
      <c r="AL129" s="122" t="n">
        <f aca="false">IF(Equity_Loan_Terms="amortization",AL144,AL158)</f>
        <v>0</v>
      </c>
    </row>
    <row r="130" customFormat="false" ht="14.65" hidden="false" customHeight="true" outlineLevel="0" collapsed="false">
      <c r="A130" s="157"/>
      <c r="B130" s="157"/>
      <c r="C130" s="157" t="s">
        <v>339</v>
      </c>
      <c r="D130" s="157"/>
      <c r="E130" s="104" t="s">
        <v>72</v>
      </c>
      <c r="F130" s="157"/>
      <c r="G130" s="162" t="e">
        <f aca="false">SUM(I130:AL130)</f>
        <v>#VALUE!</v>
      </c>
      <c r="H130" s="161"/>
      <c r="I130" s="122" t="n">
        <f aca="false">IF(Equity_Loan_Terms="amortization",I147,I161)</f>
        <v>-0</v>
      </c>
      <c r="J130" s="122" t="e">
        <f aca="false">IF(Equity_Loan_Terms="amortization",J147,J161)</f>
        <v>#VALUE!</v>
      </c>
      <c r="K130" s="122" t="e">
        <f aca="false">IF(Equity_Loan_Terms="amortization",K147,K161)</f>
        <v>#VALUE!</v>
      </c>
      <c r="L130" s="122" t="e">
        <f aca="false">IF(Equity_Loan_Terms="amortization",L147,L161)</f>
        <v>#VALUE!</v>
      </c>
      <c r="M130" s="122" t="e">
        <f aca="false">IF(Equity_Loan_Terms="amortization",M147,M161)</f>
        <v>#VALUE!</v>
      </c>
      <c r="N130" s="122" t="e">
        <f aca="false">IF(Equity_Loan_Terms="amortization",N147,N161)</f>
        <v>#VALUE!</v>
      </c>
      <c r="O130" s="122" t="e">
        <f aca="false">IF(Equity_Loan_Terms="amortization",O147,O161)</f>
        <v>#VALUE!</v>
      </c>
      <c r="P130" s="122" t="e">
        <f aca="false">IF(Equity_Loan_Terms="amortization",P147,P161)</f>
        <v>#VALUE!</v>
      </c>
      <c r="Q130" s="122" t="e">
        <f aca="false">IF(Equity_Loan_Terms="amortization",Q147,Q161)</f>
        <v>#VALUE!</v>
      </c>
      <c r="R130" s="122" t="e">
        <f aca="false">IF(Equity_Loan_Terms="amortization",R147,R161)</f>
        <v>#VALUE!</v>
      </c>
      <c r="S130" s="122" t="e">
        <f aca="false">IF(Equity_Loan_Terms="amortization",S147,S161)</f>
        <v>#VALUE!</v>
      </c>
      <c r="T130" s="122" t="e">
        <f aca="false">IF(Equity_Loan_Terms="amortization",T147,T161)</f>
        <v>#VALUE!</v>
      </c>
      <c r="U130" s="122" t="e">
        <f aca="false">IF(Equity_Loan_Terms="amortization",U147,U161)</f>
        <v>#VALUE!</v>
      </c>
      <c r="V130" s="122" t="e">
        <f aca="false">IF(Equity_Loan_Terms="amortization",V147,V161)</f>
        <v>#VALUE!</v>
      </c>
      <c r="W130" s="122" t="e">
        <f aca="false">IF(Equity_Loan_Terms="amortization",W147,W161)</f>
        <v>#VALUE!</v>
      </c>
      <c r="X130" s="122" t="e">
        <f aca="false">IF(Equity_Loan_Terms="amortization",X147,X161)</f>
        <v>#VALUE!</v>
      </c>
      <c r="Y130" s="122" t="e">
        <f aca="false">IF(Equity_Loan_Terms="amortization",Y147,Y161)</f>
        <v>#VALUE!</v>
      </c>
      <c r="Z130" s="122" t="e">
        <f aca="false">IF(Equity_Loan_Terms="amortization",Z147,Z161)</f>
        <v>#VALUE!</v>
      </c>
      <c r="AA130" s="122" t="e">
        <f aca="false">IF(Equity_Loan_Terms="amortization",AA147,AA161)</f>
        <v>#VALUE!</v>
      </c>
      <c r="AB130" s="122" t="e">
        <f aca="false">IF(Equity_Loan_Terms="amortization",AB147,AB161)</f>
        <v>#VALUE!</v>
      </c>
      <c r="AC130" s="122" t="e">
        <f aca="false">IF(Equity_Loan_Terms="amortization",AC147,AC161)</f>
        <v>#VALUE!</v>
      </c>
      <c r="AD130" s="122" t="e">
        <f aca="false">IF(Equity_Loan_Terms="amortization",AD147,AD161)</f>
        <v>#VALUE!</v>
      </c>
      <c r="AE130" s="122" t="e">
        <f aca="false">IF(Equity_Loan_Terms="amortization",AE147,AE161)</f>
        <v>#VALUE!</v>
      </c>
      <c r="AF130" s="122" t="e">
        <f aca="false">IF(Equity_Loan_Terms="amortization",AF147,AF161)</f>
        <v>#VALUE!</v>
      </c>
      <c r="AG130" s="122" t="e">
        <f aca="false">IF(Equity_Loan_Terms="amortization",AG147,AG161)</f>
        <v>#VALUE!</v>
      </c>
      <c r="AH130" s="122" t="e">
        <f aca="false">IF(Equity_Loan_Terms="amortization",AH147,AH161)</f>
        <v>#VALUE!</v>
      </c>
      <c r="AI130" s="122" t="e">
        <f aca="false">IF(Equity_Loan_Terms="amortization",AI147,AI161)</f>
        <v>#VALUE!</v>
      </c>
      <c r="AJ130" s="122" t="e">
        <f aca="false">IF(Equity_Loan_Terms="amortization",AJ147,AJ161)</f>
        <v>#VALUE!</v>
      </c>
      <c r="AK130" s="122" t="e">
        <f aca="false">IF(Equity_Loan_Terms="amortization",AK147,AK161)</f>
        <v>#VALUE!</v>
      </c>
      <c r="AL130" s="122" t="e">
        <f aca="false">IF(Equity_Loan_Terms="amortization",AL147,AL161)</f>
        <v>#VALUE!</v>
      </c>
    </row>
    <row r="131" customFormat="false" ht="14.65" hidden="false" customHeight="true" outlineLevel="0" collapsed="false">
      <c r="A131" s="157"/>
      <c r="B131" s="157"/>
      <c r="C131" s="158" t="s">
        <v>355</v>
      </c>
      <c r="D131" s="158"/>
      <c r="E131" s="118" t="s">
        <v>72</v>
      </c>
      <c r="F131" s="158"/>
      <c r="G131" s="158"/>
      <c r="H131" s="163"/>
      <c r="I131" s="121" t="n">
        <f aca="false">SUM(I129:I130)</f>
        <v>0</v>
      </c>
      <c r="J131" s="121" t="e">
        <f aca="false">SUM(J129:J130)</f>
        <v>#VALUE!</v>
      </c>
      <c r="K131" s="121" t="e">
        <f aca="false">SUM(K129:K130)</f>
        <v>#VALUE!</v>
      </c>
      <c r="L131" s="121" t="e">
        <f aca="false">SUM(L129:L130)</f>
        <v>#VALUE!</v>
      </c>
      <c r="M131" s="121" t="e">
        <f aca="false">SUM(M129:M130)</f>
        <v>#VALUE!</v>
      </c>
      <c r="N131" s="121" t="e">
        <f aca="false">SUM(N129:N130)</f>
        <v>#VALUE!</v>
      </c>
      <c r="O131" s="121" t="e">
        <f aca="false">SUM(O129:O130)</f>
        <v>#VALUE!</v>
      </c>
      <c r="P131" s="121" t="e">
        <f aca="false">SUM(P129:P130)</f>
        <v>#VALUE!</v>
      </c>
      <c r="Q131" s="121" t="e">
        <f aca="false">SUM(Q129:Q130)</f>
        <v>#VALUE!</v>
      </c>
      <c r="R131" s="121" t="e">
        <f aca="false">SUM(R129:R130)</f>
        <v>#VALUE!</v>
      </c>
      <c r="S131" s="121" t="e">
        <f aca="false">SUM(S129:S130)</f>
        <v>#VALUE!</v>
      </c>
      <c r="T131" s="121" t="e">
        <f aca="false">SUM(T129:T130)</f>
        <v>#VALUE!</v>
      </c>
      <c r="U131" s="121" t="e">
        <f aca="false">SUM(U129:U130)</f>
        <v>#VALUE!</v>
      </c>
      <c r="V131" s="121" t="e">
        <f aca="false">SUM(V129:V130)</f>
        <v>#VALUE!</v>
      </c>
      <c r="W131" s="121" t="e">
        <f aca="false">SUM(W129:W130)</f>
        <v>#VALUE!</v>
      </c>
      <c r="X131" s="121" t="e">
        <f aca="false">SUM(X129:X130)</f>
        <v>#VALUE!</v>
      </c>
      <c r="Y131" s="121" t="e">
        <f aca="false">SUM(Y129:Y130)</f>
        <v>#VALUE!</v>
      </c>
      <c r="Z131" s="121" t="e">
        <f aca="false">SUM(Z129:Z130)</f>
        <v>#VALUE!</v>
      </c>
      <c r="AA131" s="121" t="e">
        <f aca="false">SUM(AA129:AA130)</f>
        <v>#VALUE!</v>
      </c>
      <c r="AB131" s="121" t="e">
        <f aca="false">SUM(AB129:AB130)</f>
        <v>#VALUE!</v>
      </c>
      <c r="AC131" s="121" t="e">
        <f aca="false">SUM(AC129:AC130)</f>
        <v>#VALUE!</v>
      </c>
      <c r="AD131" s="121" t="e">
        <f aca="false">SUM(AD129:AD130)</f>
        <v>#VALUE!</v>
      </c>
      <c r="AE131" s="121" t="e">
        <f aca="false">SUM(AE129:AE130)</f>
        <v>#VALUE!</v>
      </c>
      <c r="AF131" s="121" t="e">
        <f aca="false">SUM(AF129:AF130)</f>
        <v>#VALUE!</v>
      </c>
      <c r="AG131" s="121" t="e">
        <f aca="false">SUM(AG129:AG130)</f>
        <v>#VALUE!</v>
      </c>
      <c r="AH131" s="121" t="e">
        <f aca="false">SUM(AH129:AH130)</f>
        <v>#VALUE!</v>
      </c>
      <c r="AI131" s="121" t="e">
        <f aca="false">SUM(AI129:AI130)</f>
        <v>#VALUE!</v>
      </c>
      <c r="AJ131" s="121" t="e">
        <f aca="false">SUM(AJ129:AJ130)</f>
        <v>#VALUE!</v>
      </c>
      <c r="AK131" s="121" t="e">
        <f aca="false">SUM(AK129:AK130)</f>
        <v>#VALUE!</v>
      </c>
      <c r="AL131" s="121" t="e">
        <f aca="false">SUM(AL129:AL130)</f>
        <v>#VALUE!</v>
      </c>
    </row>
    <row r="132" customFormat="false" ht="14.65" hidden="false" customHeight="true" outlineLevel="0" collapsed="false">
      <c r="A132" s="157"/>
      <c r="B132" s="157"/>
      <c r="E132" s="159"/>
      <c r="H132" s="161"/>
    </row>
    <row r="133" customFormat="false" ht="14.65" hidden="false" customHeight="true" outlineLevel="0" collapsed="false">
      <c r="A133" s="157"/>
      <c r="B133" s="157"/>
      <c r="C133" s="157" t="s">
        <v>356</v>
      </c>
      <c r="E133" s="159" t="str">
        <f aca="false">Equity_Loan_Terms</f>
        <v>amortization</v>
      </c>
      <c r="H133" s="161"/>
    </row>
    <row r="134" customFormat="false" ht="14.65" hidden="false" customHeight="true" outlineLevel="0" collapsed="false">
      <c r="A134" s="157"/>
      <c r="B134" s="157"/>
      <c r="C134" s="0" t="s">
        <v>327</v>
      </c>
      <c r="E134" s="104" t="s">
        <v>72</v>
      </c>
      <c r="H134" s="161"/>
      <c r="I134" s="164" t="n">
        <f aca="false">IF(Equity_Loan_Terms="amortization",I141,I155)</f>
        <v>0</v>
      </c>
      <c r="J134" s="164" t="e">
        <f aca="false">IF(Equity_Loan_Terms="amortization",J141,J155)</f>
        <v>#VALUE!</v>
      </c>
      <c r="K134" s="164" t="e">
        <f aca="false">IF(Equity_Loan_Terms="amortization",K141,K155)</f>
        <v>#VALUE!</v>
      </c>
      <c r="L134" s="164" t="e">
        <f aca="false">IF(Equity_Loan_Terms="amortization",L141,L155)</f>
        <v>#VALUE!</v>
      </c>
      <c r="M134" s="164" t="e">
        <f aca="false">IF(Equity_Loan_Terms="amortization",M141,M155)</f>
        <v>#VALUE!</v>
      </c>
      <c r="N134" s="164" t="e">
        <f aca="false">IF(Equity_Loan_Terms="amortization",N141,N155)</f>
        <v>#VALUE!</v>
      </c>
      <c r="O134" s="164" t="e">
        <f aca="false">IF(Equity_Loan_Terms="amortization",O141,O155)</f>
        <v>#VALUE!</v>
      </c>
      <c r="P134" s="164" t="e">
        <f aca="false">IF(Equity_Loan_Terms="amortization",P141,P155)</f>
        <v>#VALUE!</v>
      </c>
      <c r="Q134" s="164" t="e">
        <f aca="false">IF(Equity_Loan_Terms="amortization",Q141,Q155)</f>
        <v>#VALUE!</v>
      </c>
      <c r="R134" s="164" t="e">
        <f aca="false">IF(Equity_Loan_Terms="amortization",R141,R155)</f>
        <v>#VALUE!</v>
      </c>
      <c r="S134" s="164" t="e">
        <f aca="false">IF(Equity_Loan_Terms="amortization",S141,S155)</f>
        <v>#VALUE!</v>
      </c>
      <c r="T134" s="164" t="e">
        <f aca="false">IF(Equity_Loan_Terms="amortization",T141,T155)</f>
        <v>#VALUE!</v>
      </c>
      <c r="U134" s="164" t="e">
        <f aca="false">IF(Equity_Loan_Terms="amortization",U141,U155)</f>
        <v>#VALUE!</v>
      </c>
      <c r="V134" s="164" t="e">
        <f aca="false">IF(Equity_Loan_Terms="amortization",V141,V155)</f>
        <v>#VALUE!</v>
      </c>
      <c r="W134" s="164" t="e">
        <f aca="false">IF(Equity_Loan_Terms="amortization",W141,W155)</f>
        <v>#VALUE!</v>
      </c>
      <c r="X134" s="164" t="e">
        <f aca="false">IF(Equity_Loan_Terms="amortization",X141,X155)</f>
        <v>#VALUE!</v>
      </c>
      <c r="Y134" s="164" t="e">
        <f aca="false">IF(Equity_Loan_Terms="amortization",Y141,Y155)</f>
        <v>#VALUE!</v>
      </c>
      <c r="Z134" s="164" t="e">
        <f aca="false">IF(Equity_Loan_Terms="amortization",Z141,Z155)</f>
        <v>#VALUE!</v>
      </c>
      <c r="AA134" s="164" t="e">
        <f aca="false">IF(Equity_Loan_Terms="amortization",AA141,AA155)</f>
        <v>#VALUE!</v>
      </c>
      <c r="AB134" s="164" t="e">
        <f aca="false">IF(Equity_Loan_Terms="amortization",AB141,AB155)</f>
        <v>#VALUE!</v>
      </c>
      <c r="AC134" s="164" t="e">
        <f aca="false">IF(Equity_Loan_Terms="amortization",AC141,AC155)</f>
        <v>#VALUE!</v>
      </c>
      <c r="AD134" s="164" t="e">
        <f aca="false">IF(Equity_Loan_Terms="amortization",AD141,AD155)</f>
        <v>#VALUE!</v>
      </c>
      <c r="AE134" s="164" t="e">
        <f aca="false">IF(Equity_Loan_Terms="amortization",AE141,AE155)</f>
        <v>#VALUE!</v>
      </c>
      <c r="AF134" s="164" t="e">
        <f aca="false">IF(Equity_Loan_Terms="amortization",AF141,AF155)</f>
        <v>#VALUE!</v>
      </c>
      <c r="AG134" s="164" t="e">
        <f aca="false">IF(Equity_Loan_Terms="amortization",AG141,AG155)</f>
        <v>#VALUE!</v>
      </c>
      <c r="AH134" s="164" t="e">
        <f aca="false">IF(Equity_Loan_Terms="amortization",AH141,AH155)</f>
        <v>#VALUE!</v>
      </c>
      <c r="AI134" s="164" t="e">
        <f aca="false">IF(Equity_Loan_Terms="amortization",AI141,AI155)</f>
        <v>#VALUE!</v>
      </c>
      <c r="AJ134" s="164" t="e">
        <f aca="false">IF(Equity_Loan_Terms="amortization",AJ141,AJ155)</f>
        <v>#VALUE!</v>
      </c>
      <c r="AK134" s="164" t="e">
        <f aca="false">IF(Equity_Loan_Terms="amortization",AK141,AK155)</f>
        <v>#VALUE!</v>
      </c>
      <c r="AL134" s="164" t="e">
        <f aca="false">IF(Equity_Loan_Terms="amortization",AL141,AL155)</f>
        <v>#VALUE!</v>
      </c>
    </row>
    <row r="135" customFormat="false" ht="14.65" hidden="false" customHeight="true" outlineLevel="0" collapsed="false">
      <c r="A135" s="157"/>
      <c r="B135" s="157"/>
      <c r="C135" s="165" t="s">
        <v>357</v>
      </c>
      <c r="E135" s="104" t="s">
        <v>72</v>
      </c>
      <c r="H135" s="161"/>
      <c r="I135" s="164" t="e">
        <f aca="false">IF(Equity_Loan_Terms="amortization",I142,I156)</f>
        <v>#VALUE!</v>
      </c>
      <c r="J135" s="164" t="e">
        <f aca="false">IF(Equity_Loan_Terms="amortization",J142,J156)</f>
        <v>#VALUE!</v>
      </c>
      <c r="K135" s="164" t="e">
        <f aca="false">IF(Equity_Loan_Terms="amortization",K142,K156)</f>
        <v>#VALUE!</v>
      </c>
      <c r="L135" s="164" t="e">
        <f aca="false">IF(Equity_Loan_Terms="amortization",L142,L156)</f>
        <v>#VALUE!</v>
      </c>
      <c r="M135" s="164" t="e">
        <f aca="false">IF(Equity_Loan_Terms="amortization",M142,M156)</f>
        <v>#VALUE!</v>
      </c>
      <c r="N135" s="164" t="e">
        <f aca="false">IF(Equity_Loan_Terms="amortization",N142,N156)</f>
        <v>#VALUE!</v>
      </c>
      <c r="O135" s="164" t="e">
        <f aca="false">IF(Equity_Loan_Terms="amortization",O142,O156)</f>
        <v>#VALUE!</v>
      </c>
      <c r="P135" s="164" t="e">
        <f aca="false">IF(Equity_Loan_Terms="amortization",P142,P156)</f>
        <v>#VALUE!</v>
      </c>
      <c r="Q135" s="164" t="e">
        <f aca="false">IF(Equity_Loan_Terms="amortization",Q142,Q156)</f>
        <v>#VALUE!</v>
      </c>
      <c r="R135" s="164" t="e">
        <f aca="false">IF(Equity_Loan_Terms="amortization",R142,R156)</f>
        <v>#VALUE!</v>
      </c>
      <c r="S135" s="164" t="e">
        <f aca="false">IF(Equity_Loan_Terms="amortization",S142,S156)</f>
        <v>#VALUE!</v>
      </c>
      <c r="T135" s="164" t="e">
        <f aca="false">IF(Equity_Loan_Terms="amortization",T142,T156)</f>
        <v>#VALUE!</v>
      </c>
      <c r="U135" s="164" t="e">
        <f aca="false">IF(Equity_Loan_Terms="amortization",U142,U156)</f>
        <v>#VALUE!</v>
      </c>
      <c r="V135" s="164" t="e">
        <f aca="false">IF(Equity_Loan_Terms="amortization",V142,V156)</f>
        <v>#VALUE!</v>
      </c>
      <c r="W135" s="164" t="e">
        <f aca="false">IF(Equity_Loan_Terms="amortization",W142,W156)</f>
        <v>#VALUE!</v>
      </c>
      <c r="X135" s="164" t="e">
        <f aca="false">IF(Equity_Loan_Terms="amortization",X142,X156)</f>
        <v>#VALUE!</v>
      </c>
      <c r="Y135" s="164" t="e">
        <f aca="false">IF(Equity_Loan_Terms="amortization",Y142,Y156)</f>
        <v>#VALUE!</v>
      </c>
      <c r="Z135" s="164" t="e">
        <f aca="false">IF(Equity_Loan_Terms="amortization",Z142,Z156)</f>
        <v>#VALUE!</v>
      </c>
      <c r="AA135" s="164" t="e">
        <f aca="false">IF(Equity_Loan_Terms="amortization",AA142,AA156)</f>
        <v>#VALUE!</v>
      </c>
      <c r="AB135" s="164" t="e">
        <f aca="false">IF(Equity_Loan_Terms="amortization",AB142,AB156)</f>
        <v>#VALUE!</v>
      </c>
      <c r="AC135" s="164" t="e">
        <f aca="false">IF(Equity_Loan_Terms="amortization",AC142,AC156)</f>
        <v>#VALUE!</v>
      </c>
      <c r="AD135" s="164" t="e">
        <f aca="false">IF(Equity_Loan_Terms="amortization",AD142,AD156)</f>
        <v>#VALUE!</v>
      </c>
      <c r="AE135" s="164" t="e">
        <f aca="false">IF(Equity_Loan_Terms="amortization",AE142,AE156)</f>
        <v>#VALUE!</v>
      </c>
      <c r="AF135" s="164" t="e">
        <f aca="false">IF(Equity_Loan_Terms="amortization",AF142,AF156)</f>
        <v>#VALUE!</v>
      </c>
      <c r="AG135" s="164" t="e">
        <f aca="false">IF(Equity_Loan_Terms="amortization",AG142,AG156)</f>
        <v>#VALUE!</v>
      </c>
      <c r="AH135" s="164" t="e">
        <f aca="false">IF(Equity_Loan_Terms="amortization",AH142,AH156)</f>
        <v>#VALUE!</v>
      </c>
      <c r="AI135" s="164" t="e">
        <f aca="false">IF(Equity_Loan_Terms="amortization",AI142,AI156)</f>
        <v>#VALUE!</v>
      </c>
      <c r="AJ135" s="164" t="e">
        <f aca="false">IF(Equity_Loan_Terms="amortization",AJ142,AJ156)</f>
        <v>#VALUE!</v>
      </c>
      <c r="AK135" s="164" t="e">
        <f aca="false">IF(Equity_Loan_Terms="amortization",AK142,AK156)</f>
        <v>#VALUE!</v>
      </c>
      <c r="AL135" s="164" t="e">
        <f aca="false">IF(Equity_Loan_Terms="amortization",AL142,AL156)</f>
        <v>#VALUE!</v>
      </c>
    </row>
    <row r="136" customFormat="false" ht="14.65" hidden="false" customHeight="true" outlineLevel="0" collapsed="false">
      <c r="A136" s="157"/>
      <c r="B136" s="157"/>
      <c r="C136" s="165" t="s">
        <v>343</v>
      </c>
      <c r="E136" s="104" t="s">
        <v>72</v>
      </c>
      <c r="G136" s="133" t="e">
        <f aca="false">SUMPRODUCT(I136:AL136,I7:AL7)</f>
        <v>#VALUE!</v>
      </c>
      <c r="H136" s="161"/>
      <c r="I136" s="164" t="e">
        <f aca="false">IF(Equity_Loan_Terms="amortization",I143,I157)</f>
        <v>#VALUE!</v>
      </c>
      <c r="J136" s="164" t="e">
        <f aca="false">IF(Equity_Loan_Terms="amortization",J143,J157)</f>
        <v>#VALUE!</v>
      </c>
      <c r="K136" s="164" t="e">
        <f aca="false">IF(Equity_Loan_Terms="amortization",K143,K157)</f>
        <v>#VALUE!</v>
      </c>
      <c r="L136" s="164" t="e">
        <f aca="false">IF(Equity_Loan_Terms="amortization",L143,L157)</f>
        <v>#VALUE!</v>
      </c>
      <c r="M136" s="164" t="e">
        <f aca="false">IF(Equity_Loan_Terms="amortization",M143,M157)</f>
        <v>#VALUE!</v>
      </c>
      <c r="N136" s="164" t="e">
        <f aca="false">IF(Equity_Loan_Terms="amortization",N143,N157)</f>
        <v>#VALUE!</v>
      </c>
      <c r="O136" s="164" t="e">
        <f aca="false">IF(Equity_Loan_Terms="amortization",O143,O157)</f>
        <v>#VALUE!</v>
      </c>
      <c r="P136" s="164" t="e">
        <f aca="false">IF(Equity_Loan_Terms="amortization",P143,P157)</f>
        <v>#VALUE!</v>
      </c>
      <c r="Q136" s="164" t="e">
        <f aca="false">IF(Equity_Loan_Terms="amortization",Q143,Q157)</f>
        <v>#VALUE!</v>
      </c>
      <c r="R136" s="164" t="e">
        <f aca="false">IF(Equity_Loan_Terms="amortization",R143,R157)</f>
        <v>#VALUE!</v>
      </c>
      <c r="S136" s="164" t="e">
        <f aca="false">IF(Equity_Loan_Terms="amortization",S143,S157)</f>
        <v>#VALUE!</v>
      </c>
      <c r="T136" s="164" t="e">
        <f aca="false">IF(Equity_Loan_Terms="amortization",T143,T157)</f>
        <v>#VALUE!</v>
      </c>
      <c r="U136" s="164" t="e">
        <f aca="false">IF(Equity_Loan_Terms="amortization",U143,U157)</f>
        <v>#VALUE!</v>
      </c>
      <c r="V136" s="164" t="e">
        <f aca="false">IF(Equity_Loan_Terms="amortization",V143,V157)</f>
        <v>#VALUE!</v>
      </c>
      <c r="W136" s="164" t="e">
        <f aca="false">IF(Equity_Loan_Terms="amortization",W143,W157)</f>
        <v>#VALUE!</v>
      </c>
      <c r="X136" s="164" t="e">
        <f aca="false">IF(Equity_Loan_Terms="amortization",X143,X157)</f>
        <v>#VALUE!</v>
      </c>
      <c r="Y136" s="164" t="e">
        <f aca="false">IF(Equity_Loan_Terms="amortization",Y143,Y157)</f>
        <v>#VALUE!</v>
      </c>
      <c r="Z136" s="164" t="e">
        <f aca="false">IF(Equity_Loan_Terms="amortization",Z143,Z157)</f>
        <v>#VALUE!</v>
      </c>
      <c r="AA136" s="164" t="e">
        <f aca="false">IF(Equity_Loan_Terms="amortization",AA143,AA157)</f>
        <v>#VALUE!</v>
      </c>
      <c r="AB136" s="164" t="e">
        <f aca="false">IF(Equity_Loan_Terms="amortization",AB143,AB157)</f>
        <v>#VALUE!</v>
      </c>
      <c r="AC136" s="164" t="e">
        <f aca="false">IF(Equity_Loan_Terms="amortization",AC143,AC157)</f>
        <v>#VALUE!</v>
      </c>
      <c r="AD136" s="164" t="e">
        <f aca="false">IF(Equity_Loan_Terms="amortization",AD143,AD157)</f>
        <v>#VALUE!</v>
      </c>
      <c r="AE136" s="164" t="e">
        <f aca="false">IF(Equity_Loan_Terms="amortization",AE143,AE157)</f>
        <v>#VALUE!</v>
      </c>
      <c r="AF136" s="164" t="e">
        <f aca="false">IF(Equity_Loan_Terms="amortization",AF143,AF157)</f>
        <v>#VALUE!</v>
      </c>
      <c r="AG136" s="164" t="e">
        <f aca="false">IF(Equity_Loan_Terms="amortization",AG143,AG157)</f>
        <v>#VALUE!</v>
      </c>
      <c r="AH136" s="164" t="e">
        <f aca="false">IF(Equity_Loan_Terms="amortization",AH143,AH157)</f>
        <v>#VALUE!</v>
      </c>
      <c r="AI136" s="164" t="e">
        <f aca="false">IF(Equity_Loan_Terms="amortization",AI143,AI157)</f>
        <v>#VALUE!</v>
      </c>
      <c r="AJ136" s="164" t="e">
        <f aca="false">IF(Equity_Loan_Terms="amortization",AJ143,AJ157)</f>
        <v>#VALUE!</v>
      </c>
      <c r="AK136" s="164" t="e">
        <f aca="false">IF(Equity_Loan_Terms="amortization",AK143,AK157)</f>
        <v>#VALUE!</v>
      </c>
      <c r="AL136" s="164" t="e">
        <f aca="false">IF(Equity_Loan_Terms="amortization",AL143,AL157)</f>
        <v>#VALUE!</v>
      </c>
    </row>
    <row r="137" customFormat="false" ht="14.65" hidden="false" customHeight="true" outlineLevel="0" collapsed="false">
      <c r="A137" s="157"/>
      <c r="B137" s="157"/>
      <c r="C137" s="165" t="s">
        <v>358</v>
      </c>
      <c r="E137" s="104" t="s">
        <v>72</v>
      </c>
      <c r="H137" s="161"/>
      <c r="I137" s="164" t="n">
        <f aca="false">IF(Equity_Loan_Terms="amortization",I144,I158)</f>
        <v>0</v>
      </c>
      <c r="J137" s="164" t="n">
        <f aca="false">IF(Equity_Loan_Terms="amortization",J144,J158)</f>
        <v>0</v>
      </c>
      <c r="K137" s="164" t="n">
        <f aca="false">IF(Equity_Loan_Terms="amortization",K144,K158)</f>
        <v>0</v>
      </c>
      <c r="L137" s="164" t="n">
        <f aca="false">IF(Equity_Loan_Terms="amortization",L144,L158)</f>
        <v>0</v>
      </c>
      <c r="M137" s="164" t="n">
        <f aca="false">IF(Equity_Loan_Terms="amortization",M144,M158)</f>
        <v>0</v>
      </c>
      <c r="N137" s="164" t="n">
        <f aca="false">IF(Equity_Loan_Terms="amortization",N144,N158)</f>
        <v>0</v>
      </c>
      <c r="O137" s="164" t="n">
        <f aca="false">IF(Equity_Loan_Terms="amortization",O144,O158)</f>
        <v>0</v>
      </c>
      <c r="P137" s="164" t="n">
        <f aca="false">IF(Equity_Loan_Terms="amortization",P144,P158)</f>
        <v>0</v>
      </c>
      <c r="Q137" s="164" t="n">
        <f aca="false">IF(Equity_Loan_Terms="amortization",Q144,Q158)</f>
        <v>0</v>
      </c>
      <c r="R137" s="164" t="n">
        <f aca="false">IF(Equity_Loan_Terms="amortization",R144,R158)</f>
        <v>0</v>
      </c>
      <c r="S137" s="164" t="n">
        <f aca="false">IF(Equity_Loan_Terms="amortization",S144,S158)</f>
        <v>0</v>
      </c>
      <c r="T137" s="164" t="n">
        <f aca="false">IF(Equity_Loan_Terms="amortization",T144,T158)</f>
        <v>0</v>
      </c>
      <c r="U137" s="164" t="n">
        <f aca="false">IF(Equity_Loan_Terms="amortization",U144,U158)</f>
        <v>0</v>
      </c>
      <c r="V137" s="164" t="n">
        <f aca="false">IF(Equity_Loan_Terms="amortization",V144,V158)</f>
        <v>0</v>
      </c>
      <c r="W137" s="164" t="n">
        <f aca="false">IF(Equity_Loan_Terms="amortization",W144,W158)</f>
        <v>0</v>
      </c>
      <c r="X137" s="164" t="n">
        <f aca="false">IF(Equity_Loan_Terms="amortization",X144,X158)</f>
        <v>0</v>
      </c>
      <c r="Y137" s="164" t="n">
        <f aca="false">IF(Equity_Loan_Terms="amortization",Y144,Y158)</f>
        <v>0</v>
      </c>
      <c r="Z137" s="164" t="n">
        <f aca="false">IF(Equity_Loan_Terms="amortization",Z144,Z158)</f>
        <v>0</v>
      </c>
      <c r="AA137" s="164" t="n">
        <f aca="false">IF(Equity_Loan_Terms="amortization",AA144,AA158)</f>
        <v>0</v>
      </c>
      <c r="AB137" s="164" t="n">
        <f aca="false">IF(Equity_Loan_Terms="amortization",AB144,AB158)</f>
        <v>0</v>
      </c>
      <c r="AC137" s="164" t="n">
        <f aca="false">IF(Equity_Loan_Terms="amortization",AC144,AC158)</f>
        <v>0</v>
      </c>
      <c r="AD137" s="164" t="n">
        <f aca="false">IF(Equity_Loan_Terms="amortization",AD144,AD158)</f>
        <v>0</v>
      </c>
      <c r="AE137" s="164" t="n">
        <f aca="false">IF(Equity_Loan_Terms="amortization",AE144,AE158)</f>
        <v>0</v>
      </c>
      <c r="AF137" s="164" t="n">
        <f aca="false">IF(Equity_Loan_Terms="amortization",AF144,AF158)</f>
        <v>0</v>
      </c>
      <c r="AG137" s="164" t="n">
        <f aca="false">IF(Equity_Loan_Terms="amortization",AG144,AG158)</f>
        <v>0</v>
      </c>
      <c r="AH137" s="164" t="n">
        <f aca="false">IF(Equity_Loan_Terms="amortization",AH144,AH158)</f>
        <v>0</v>
      </c>
      <c r="AI137" s="164" t="n">
        <f aca="false">IF(Equity_Loan_Terms="amortization",AI144,AI158)</f>
        <v>0</v>
      </c>
      <c r="AJ137" s="164" t="n">
        <f aca="false">IF(Equity_Loan_Terms="amortization",AJ144,AJ158)</f>
        <v>0</v>
      </c>
      <c r="AK137" s="164" t="n">
        <f aca="false">IF(Equity_Loan_Terms="amortization",AK144,AK158)</f>
        <v>0</v>
      </c>
      <c r="AL137" s="164" t="n">
        <f aca="false">IF(Equity_Loan_Terms="amortization",AL144,AL158)</f>
        <v>0</v>
      </c>
    </row>
    <row r="138" customFormat="false" ht="14.65" hidden="false" customHeight="true" outlineLevel="0" collapsed="false">
      <c r="A138" s="157"/>
      <c r="B138" s="157"/>
      <c r="C138" s="166" t="s">
        <v>336</v>
      </c>
      <c r="D138" s="158"/>
      <c r="E138" s="118" t="s">
        <v>72</v>
      </c>
      <c r="F138" s="158"/>
      <c r="G138" s="158"/>
      <c r="H138" s="163"/>
      <c r="I138" s="167" t="e">
        <f aca="false">IF(Equity_Loan_Terms="amortization",I145,I159)</f>
        <v>#VALUE!</v>
      </c>
      <c r="J138" s="167" t="e">
        <f aca="false">IF(Equity_Loan_Terms="amortization",J145,J159)</f>
        <v>#VALUE!</v>
      </c>
      <c r="K138" s="167" t="e">
        <f aca="false">IF(Equity_Loan_Terms="amortization",K145,K159)</f>
        <v>#VALUE!</v>
      </c>
      <c r="L138" s="167" t="e">
        <f aca="false">IF(Equity_Loan_Terms="amortization",L145,L159)</f>
        <v>#VALUE!</v>
      </c>
      <c r="M138" s="167" t="e">
        <f aca="false">IF(Equity_Loan_Terms="amortization",M145,M159)</f>
        <v>#VALUE!</v>
      </c>
      <c r="N138" s="167" t="e">
        <f aca="false">IF(Equity_Loan_Terms="amortization",N145,N159)</f>
        <v>#VALUE!</v>
      </c>
      <c r="O138" s="167" t="e">
        <f aca="false">IF(Equity_Loan_Terms="amortization",O145,O159)</f>
        <v>#VALUE!</v>
      </c>
      <c r="P138" s="167" t="e">
        <f aca="false">IF(Equity_Loan_Terms="amortization",P145,P159)</f>
        <v>#VALUE!</v>
      </c>
      <c r="Q138" s="167" t="e">
        <f aca="false">IF(Equity_Loan_Terms="amortization",Q145,Q159)</f>
        <v>#VALUE!</v>
      </c>
      <c r="R138" s="167" t="e">
        <f aca="false">IF(Equity_Loan_Terms="amortization",R145,R159)</f>
        <v>#VALUE!</v>
      </c>
      <c r="S138" s="167" t="e">
        <f aca="false">IF(Equity_Loan_Terms="amortization",S145,S159)</f>
        <v>#VALUE!</v>
      </c>
      <c r="T138" s="167" t="e">
        <f aca="false">IF(Equity_Loan_Terms="amortization",T145,T159)</f>
        <v>#VALUE!</v>
      </c>
      <c r="U138" s="167" t="e">
        <f aca="false">IF(Equity_Loan_Terms="amortization",U145,U159)</f>
        <v>#VALUE!</v>
      </c>
      <c r="V138" s="167" t="e">
        <f aca="false">IF(Equity_Loan_Terms="amortization",V145,V159)</f>
        <v>#VALUE!</v>
      </c>
      <c r="W138" s="167" t="e">
        <f aca="false">IF(Equity_Loan_Terms="amortization",W145,W159)</f>
        <v>#VALUE!</v>
      </c>
      <c r="X138" s="167" t="e">
        <f aca="false">IF(Equity_Loan_Terms="amortization",X145,X159)</f>
        <v>#VALUE!</v>
      </c>
      <c r="Y138" s="167" t="e">
        <f aca="false">IF(Equity_Loan_Terms="amortization",Y145,Y159)</f>
        <v>#VALUE!</v>
      </c>
      <c r="Z138" s="167" t="e">
        <f aca="false">IF(Equity_Loan_Terms="amortization",Z145,Z159)</f>
        <v>#VALUE!</v>
      </c>
      <c r="AA138" s="167" t="e">
        <f aca="false">IF(Equity_Loan_Terms="amortization",AA145,AA159)</f>
        <v>#VALUE!</v>
      </c>
      <c r="AB138" s="167" t="e">
        <f aca="false">IF(Equity_Loan_Terms="amortization",AB145,AB159)</f>
        <v>#VALUE!</v>
      </c>
      <c r="AC138" s="167" t="e">
        <f aca="false">IF(Equity_Loan_Terms="amortization",AC145,AC159)</f>
        <v>#VALUE!</v>
      </c>
      <c r="AD138" s="167" t="e">
        <f aca="false">IF(Equity_Loan_Terms="amortization",AD145,AD159)</f>
        <v>#VALUE!</v>
      </c>
      <c r="AE138" s="167" t="e">
        <f aca="false">IF(Equity_Loan_Terms="amortization",AE145,AE159)</f>
        <v>#VALUE!</v>
      </c>
      <c r="AF138" s="167" t="e">
        <f aca="false">IF(Equity_Loan_Terms="amortization",AF145,AF159)</f>
        <v>#VALUE!</v>
      </c>
      <c r="AG138" s="167" t="e">
        <f aca="false">IF(Equity_Loan_Terms="amortization",AG145,AG159)</f>
        <v>#VALUE!</v>
      </c>
      <c r="AH138" s="167" t="e">
        <f aca="false">IF(Equity_Loan_Terms="amortization",AH145,AH159)</f>
        <v>#VALUE!</v>
      </c>
      <c r="AI138" s="167" t="e">
        <f aca="false">IF(Equity_Loan_Terms="amortization",AI145,AI159)</f>
        <v>#VALUE!</v>
      </c>
      <c r="AJ138" s="167" t="e">
        <f aca="false">IF(Equity_Loan_Terms="amortization",AJ145,AJ159)</f>
        <v>#VALUE!</v>
      </c>
      <c r="AK138" s="167" t="e">
        <f aca="false">IF(Equity_Loan_Terms="amortization",AK145,AK159)</f>
        <v>#VALUE!</v>
      </c>
      <c r="AL138" s="167" t="e">
        <f aca="false">IF(Equity_Loan_Terms="amortization",AL145,AL159)</f>
        <v>#VALUE!</v>
      </c>
    </row>
    <row r="139" customFormat="false" ht="14.65" hidden="false" customHeight="true" outlineLevel="0" collapsed="false">
      <c r="A139" s="157"/>
      <c r="B139" s="157"/>
      <c r="E139" s="159"/>
      <c r="H139" s="161"/>
    </row>
    <row r="140" customFormat="false" ht="16.9" hidden="false" customHeight="true" outlineLevel="1" collapsed="false">
      <c r="A140" s="157"/>
      <c r="B140" s="2" t="e">
        <f aca="false">(MAX($A$7:B128)+0.1)</f>
        <v>#VALUE!</v>
      </c>
      <c r="C140" s="2" t="s">
        <v>359</v>
      </c>
      <c r="E140" s="159"/>
      <c r="H140" s="161"/>
    </row>
    <row r="141" customFormat="false" ht="16.9" hidden="false" customHeight="true" outlineLevel="1" collapsed="false">
      <c r="A141" s="157"/>
      <c r="C141" s="0" t="s">
        <v>327</v>
      </c>
      <c r="E141" s="104" t="s">
        <v>72</v>
      </c>
      <c r="H141" s="161"/>
      <c r="I141" s="164" t="n">
        <f aca="false">H145</f>
        <v>0</v>
      </c>
      <c r="J141" s="164" t="e">
        <f aca="false">I145</f>
        <v>#VALUE!</v>
      </c>
      <c r="K141" s="164" t="e">
        <f aca="false">J145</f>
        <v>#VALUE!</v>
      </c>
      <c r="L141" s="164" t="e">
        <f aca="false">K145</f>
        <v>#VALUE!</v>
      </c>
      <c r="M141" s="164" t="e">
        <f aca="false">L145</f>
        <v>#VALUE!</v>
      </c>
      <c r="N141" s="164" t="e">
        <f aca="false">M145</f>
        <v>#VALUE!</v>
      </c>
      <c r="O141" s="164" t="e">
        <f aca="false">N145</f>
        <v>#VALUE!</v>
      </c>
      <c r="P141" s="164" t="e">
        <f aca="false">O145</f>
        <v>#VALUE!</v>
      </c>
      <c r="Q141" s="164" t="e">
        <f aca="false">P145</f>
        <v>#VALUE!</v>
      </c>
      <c r="R141" s="164" t="e">
        <f aca="false">Q145</f>
        <v>#VALUE!</v>
      </c>
      <c r="S141" s="164" t="e">
        <f aca="false">R145</f>
        <v>#VALUE!</v>
      </c>
      <c r="T141" s="164" t="e">
        <f aca="false">S145</f>
        <v>#VALUE!</v>
      </c>
      <c r="U141" s="164" t="e">
        <f aca="false">T145</f>
        <v>#VALUE!</v>
      </c>
      <c r="V141" s="164" t="e">
        <f aca="false">U145</f>
        <v>#VALUE!</v>
      </c>
      <c r="W141" s="164" t="e">
        <f aca="false">V145</f>
        <v>#VALUE!</v>
      </c>
      <c r="X141" s="164" t="e">
        <f aca="false">W145</f>
        <v>#VALUE!</v>
      </c>
      <c r="Y141" s="164" t="e">
        <f aca="false">X145</f>
        <v>#VALUE!</v>
      </c>
      <c r="Z141" s="164" t="e">
        <f aca="false">Y145</f>
        <v>#VALUE!</v>
      </c>
      <c r="AA141" s="164" t="e">
        <f aca="false">Z145</f>
        <v>#VALUE!</v>
      </c>
      <c r="AB141" s="164" t="e">
        <f aca="false">AA145</f>
        <v>#VALUE!</v>
      </c>
      <c r="AC141" s="164" t="e">
        <f aca="false">AB145</f>
        <v>#VALUE!</v>
      </c>
      <c r="AD141" s="164" t="e">
        <f aca="false">AC145</f>
        <v>#VALUE!</v>
      </c>
      <c r="AE141" s="164" t="e">
        <f aca="false">AD145</f>
        <v>#VALUE!</v>
      </c>
      <c r="AF141" s="164" t="e">
        <f aca="false">AE145</f>
        <v>#VALUE!</v>
      </c>
      <c r="AG141" s="164" t="e">
        <f aca="false">AF145</f>
        <v>#VALUE!</v>
      </c>
      <c r="AH141" s="164" t="e">
        <f aca="false">AG145</f>
        <v>#VALUE!</v>
      </c>
      <c r="AI141" s="164" t="e">
        <f aca="false">AH145</f>
        <v>#VALUE!</v>
      </c>
      <c r="AJ141" s="164" t="e">
        <f aca="false">AI145</f>
        <v>#VALUE!</v>
      </c>
      <c r="AK141" s="164" t="e">
        <f aca="false">AJ145</f>
        <v>#VALUE!</v>
      </c>
      <c r="AL141" s="164" t="e">
        <f aca="false">AK145</f>
        <v>#VALUE!</v>
      </c>
    </row>
    <row r="142" customFormat="false" ht="16.9" hidden="false" customHeight="true" outlineLevel="1" collapsed="false">
      <c r="A142" s="157"/>
      <c r="C142" s="165" t="s">
        <v>357</v>
      </c>
      <c r="E142" s="104" t="s">
        <v>72</v>
      </c>
      <c r="H142" s="161"/>
      <c r="I142" s="164" t="e">
        <f aca="false">I46*Equity_Leverage</f>
        <v>#VALUE!</v>
      </c>
      <c r="J142" s="164" t="e">
        <f aca="false">J46*Equity_Leverage</f>
        <v>#VALUE!</v>
      </c>
      <c r="K142" s="164" t="e">
        <f aca="false">K46*Equity_Leverage</f>
        <v>#VALUE!</v>
      </c>
      <c r="L142" s="164" t="e">
        <f aca="false">L46*Equity_Leverage</f>
        <v>#VALUE!</v>
      </c>
      <c r="M142" s="164" t="e">
        <f aca="false">M46*Equity_Leverage</f>
        <v>#VALUE!</v>
      </c>
      <c r="N142" s="164" t="e">
        <f aca="false">N46*Equity_Leverage</f>
        <v>#VALUE!</v>
      </c>
      <c r="O142" s="164" t="e">
        <f aca="false">O46*Equity_Leverage</f>
        <v>#VALUE!</v>
      </c>
      <c r="P142" s="164" t="e">
        <f aca="false">P46*Equity_Leverage</f>
        <v>#VALUE!</v>
      </c>
      <c r="Q142" s="164" t="e">
        <f aca="false">Q46*Equity_Leverage</f>
        <v>#VALUE!</v>
      </c>
      <c r="R142" s="164" t="e">
        <f aca="false">R46*Equity_Leverage</f>
        <v>#VALUE!</v>
      </c>
      <c r="S142" s="164" t="e">
        <f aca="false">S46*Equity_Leverage</f>
        <v>#VALUE!</v>
      </c>
      <c r="T142" s="164" t="e">
        <f aca="false">T46*Equity_Leverage</f>
        <v>#VALUE!</v>
      </c>
      <c r="U142" s="164" t="e">
        <f aca="false">U46*Equity_Leverage</f>
        <v>#VALUE!</v>
      </c>
      <c r="V142" s="164" t="e">
        <f aca="false">V46*Equity_Leverage</f>
        <v>#VALUE!</v>
      </c>
      <c r="W142" s="164" t="e">
        <f aca="false">W46*Equity_Leverage</f>
        <v>#VALUE!</v>
      </c>
      <c r="X142" s="164" t="e">
        <f aca="false">X46*Equity_Leverage</f>
        <v>#VALUE!</v>
      </c>
      <c r="Y142" s="164" t="e">
        <f aca="false">Y46*Equity_Leverage</f>
        <v>#VALUE!</v>
      </c>
      <c r="Z142" s="164" t="e">
        <f aca="false">Z46*Equity_Leverage</f>
        <v>#VALUE!</v>
      </c>
      <c r="AA142" s="164" t="e">
        <f aca="false">AA46*Equity_Leverage</f>
        <v>#VALUE!</v>
      </c>
      <c r="AB142" s="164" t="e">
        <f aca="false">AB46*Equity_Leverage</f>
        <v>#VALUE!</v>
      </c>
      <c r="AC142" s="164" t="e">
        <f aca="false">AC46*Equity_Leverage</f>
        <v>#VALUE!</v>
      </c>
      <c r="AD142" s="164" t="e">
        <f aca="false">AD46*Equity_Leverage</f>
        <v>#VALUE!</v>
      </c>
      <c r="AE142" s="164" t="e">
        <f aca="false">AE46*Equity_Leverage</f>
        <v>#VALUE!</v>
      </c>
      <c r="AF142" s="164" t="e">
        <f aca="false">AF46*Equity_Leverage</f>
        <v>#VALUE!</v>
      </c>
      <c r="AG142" s="164" t="e">
        <f aca="false">AG46*Equity_Leverage</f>
        <v>#VALUE!</v>
      </c>
      <c r="AH142" s="164" t="e">
        <f aca="false">AH46*Equity_Leverage</f>
        <v>#VALUE!</v>
      </c>
      <c r="AI142" s="164" t="e">
        <f aca="false">AI46*Equity_Leverage</f>
        <v>#VALUE!</v>
      </c>
      <c r="AJ142" s="164" t="e">
        <f aca="false">AJ46*Equity_Leverage</f>
        <v>#VALUE!</v>
      </c>
      <c r="AK142" s="164" t="e">
        <f aca="false">AK46*Equity_Leverage</f>
        <v>#VALUE!</v>
      </c>
      <c r="AL142" s="164" t="e">
        <f aca="false">AL46*Equity_Leverage</f>
        <v>#VALUE!</v>
      </c>
    </row>
    <row r="143" customFormat="false" ht="16.9" hidden="false" customHeight="true" outlineLevel="1" collapsed="false">
      <c r="A143" s="157"/>
      <c r="C143" s="165" t="s">
        <v>343</v>
      </c>
      <c r="E143" s="104" t="s">
        <v>72</v>
      </c>
      <c r="H143" s="161"/>
      <c r="I143" s="122" t="e">
        <f aca="false">I$6*(I141+SUM(I142)/2)*Equity_Loan_Rate+(I147=0)*I141*Equity_Loan_Rate</f>
        <v>#VALUE!</v>
      </c>
      <c r="J143" s="122" t="e">
        <f aca="false">J$6*(J141+SUM(J142)/2)*Equity_Loan_Rate+(J147=0)*J141*Equity_Loan_Rate</f>
        <v>#VALUE!</v>
      </c>
      <c r="K143" s="122" t="e">
        <f aca="false">K$6*(K141+SUM(K142)/2)*Equity_Loan_Rate+(K147=0)*K141*Equity_Loan_Rate</f>
        <v>#VALUE!</v>
      </c>
      <c r="L143" s="122" t="e">
        <f aca="false">L$6*(L141+SUM(L142)/2)*Equity_Loan_Rate+(L147=0)*L141*Equity_Loan_Rate</f>
        <v>#VALUE!</v>
      </c>
      <c r="M143" s="122" t="e">
        <f aca="false">M$6*(M141+SUM(M142)/2)*Equity_Loan_Rate+(M147=0)*M141*Equity_Loan_Rate</f>
        <v>#VALUE!</v>
      </c>
      <c r="N143" s="122" t="e">
        <f aca="false">N$6*(N141+SUM(N142)/2)*Equity_Loan_Rate+(N147=0)*N141*Equity_Loan_Rate</f>
        <v>#VALUE!</v>
      </c>
      <c r="O143" s="122" t="e">
        <f aca="false">O$6*(O141+SUM(O142)/2)*Equity_Loan_Rate+(O147=0)*O141*Equity_Loan_Rate</f>
        <v>#VALUE!</v>
      </c>
      <c r="P143" s="122" t="e">
        <f aca="false">P$6*(P141+SUM(P142)/2)*Equity_Loan_Rate+(P147=0)*P141*Equity_Loan_Rate</f>
        <v>#VALUE!</v>
      </c>
      <c r="Q143" s="122" t="e">
        <f aca="false">Q$6*(Q141+SUM(Q142)/2)*Equity_Loan_Rate+(Q147=0)*Q141*Equity_Loan_Rate</f>
        <v>#VALUE!</v>
      </c>
      <c r="R143" s="122" t="e">
        <f aca="false">R$6*(R141+SUM(R142)/2)*Equity_Loan_Rate+(R147=0)*R141*Equity_Loan_Rate</f>
        <v>#VALUE!</v>
      </c>
      <c r="S143" s="122" t="e">
        <f aca="false">S$6*(S141+SUM(S142)/2)*Equity_Loan_Rate+(S147=0)*S141*Equity_Loan_Rate</f>
        <v>#VALUE!</v>
      </c>
      <c r="T143" s="122" t="e">
        <f aca="false">T$6*(T141+SUM(T142)/2)*Equity_Loan_Rate+(T147=0)*T141*Equity_Loan_Rate</f>
        <v>#VALUE!</v>
      </c>
      <c r="U143" s="122" t="e">
        <f aca="false">U$6*(U141+SUM(U142)/2)*Equity_Loan_Rate+(U147=0)*U141*Equity_Loan_Rate</f>
        <v>#VALUE!</v>
      </c>
      <c r="V143" s="122" t="e">
        <f aca="false">V$6*(V141+SUM(V142)/2)*Equity_Loan_Rate+(V147=0)*V141*Equity_Loan_Rate</f>
        <v>#VALUE!</v>
      </c>
      <c r="W143" s="122" t="e">
        <f aca="false">W$6*(W141+SUM(W142)/2)*Equity_Loan_Rate+(W147=0)*W141*Equity_Loan_Rate</f>
        <v>#VALUE!</v>
      </c>
      <c r="X143" s="122" t="e">
        <f aca="false">X$6*(X141+SUM(X142)/2)*Equity_Loan_Rate+(X147=0)*X141*Equity_Loan_Rate</f>
        <v>#VALUE!</v>
      </c>
      <c r="Y143" s="122" t="e">
        <f aca="false">Y$6*(Y141+SUM(Y142)/2)*Equity_Loan_Rate+(Y147=0)*Y141*Equity_Loan_Rate</f>
        <v>#VALUE!</v>
      </c>
      <c r="Z143" s="122" t="e">
        <f aca="false">Z$6*(Z141+SUM(Z142)/2)*Equity_Loan_Rate+(Z147=0)*Z141*Equity_Loan_Rate</f>
        <v>#VALUE!</v>
      </c>
      <c r="AA143" s="122" t="e">
        <f aca="false">AA$6*(AA141+SUM(AA142)/2)*Equity_Loan_Rate+(AA147=0)*AA141*Equity_Loan_Rate</f>
        <v>#VALUE!</v>
      </c>
      <c r="AB143" s="122" t="e">
        <f aca="false">AB$6*(AB141+SUM(AB142)/2)*Equity_Loan_Rate+(AB147=0)*AB141*Equity_Loan_Rate</f>
        <v>#VALUE!</v>
      </c>
      <c r="AC143" s="122" t="e">
        <f aca="false">AC$6*(AC141+SUM(AC142)/2)*Equity_Loan_Rate+(AC147=0)*AC141*Equity_Loan_Rate</f>
        <v>#VALUE!</v>
      </c>
      <c r="AD143" s="122" t="e">
        <f aca="false">AD$6*(AD141+SUM(AD142)/2)*Equity_Loan_Rate+(AD147=0)*AD141*Equity_Loan_Rate</f>
        <v>#VALUE!</v>
      </c>
      <c r="AE143" s="122" t="e">
        <f aca="false">AE$6*(AE141+SUM(AE142)/2)*Equity_Loan_Rate+(AE147=0)*AE141*Equity_Loan_Rate</f>
        <v>#VALUE!</v>
      </c>
      <c r="AF143" s="122" t="e">
        <f aca="false">AF$6*(AF141+SUM(AF142)/2)*Equity_Loan_Rate+(AF147=0)*AF141*Equity_Loan_Rate</f>
        <v>#VALUE!</v>
      </c>
      <c r="AG143" s="122" t="e">
        <f aca="false">AG$6*(AG141+SUM(AG142)/2)*Equity_Loan_Rate+(AG147=0)*AG141*Equity_Loan_Rate</f>
        <v>#VALUE!</v>
      </c>
      <c r="AH143" s="122" t="e">
        <f aca="false">AH$6*(AH141+SUM(AH142)/2)*Equity_Loan_Rate+(AH147=0)*AH141*Equity_Loan_Rate</f>
        <v>#VALUE!</v>
      </c>
      <c r="AI143" s="122" t="e">
        <f aca="false">AI$6*(AI141+SUM(AI142)/2)*Equity_Loan_Rate+(AI147=0)*AI141*Equity_Loan_Rate</f>
        <v>#VALUE!</v>
      </c>
      <c r="AJ143" s="122" t="e">
        <f aca="false">AJ$6*(AJ141+SUM(AJ142)/2)*Equity_Loan_Rate+(AJ147=0)*AJ141*Equity_Loan_Rate</f>
        <v>#VALUE!</v>
      </c>
      <c r="AK143" s="122" t="e">
        <f aca="false">AK$6*(AK141+SUM(AK142)/2)*Equity_Loan_Rate+(AK147=0)*AK141*Equity_Loan_Rate</f>
        <v>#VALUE!</v>
      </c>
      <c r="AL143" s="122" t="e">
        <f aca="false">AL$6*(AL141+SUM(AL142)/2)*Equity_Loan_Rate+(AL147=0)*AL141*Equity_Loan_Rate</f>
        <v>#VALUE!</v>
      </c>
    </row>
    <row r="144" customFormat="false" ht="16.9" hidden="false" customHeight="true" outlineLevel="1" collapsed="false">
      <c r="A144" s="157"/>
      <c r="C144" s="165" t="s">
        <v>358</v>
      </c>
      <c r="E144" s="104" t="s">
        <v>72</v>
      </c>
      <c r="H144" s="161"/>
      <c r="I144" s="164" t="n">
        <f aca="false">IFERROR(PPMT(Equity_Loan_Rate,I$10-Mezz_Loan_Grace,Equity_Loan_Tenor,I141-SUM($H148:H148)),0)</f>
        <v>0</v>
      </c>
      <c r="J144" s="164" t="n">
        <f aca="false">IFERROR(PPMT(Equity_Loan_Rate,J$10-Mezz_Loan_Grace,Equity_Loan_Tenor,J141-SUM($H148:I148)),0)</f>
        <v>0</v>
      </c>
      <c r="K144" s="164" t="n">
        <f aca="false">IFERROR(PPMT(Equity_Loan_Rate,K$10-Mezz_Loan_Grace,Equity_Loan_Tenor,K141-SUM($H148:J148)),0)</f>
        <v>0</v>
      </c>
      <c r="L144" s="164" t="n">
        <f aca="false">IFERROR(PPMT(Equity_Loan_Rate,L$10-Mezz_Loan_Grace,Equity_Loan_Tenor,L141-SUM($H148:K148)),0)</f>
        <v>0</v>
      </c>
      <c r="M144" s="164" t="n">
        <f aca="false">IFERROR(PPMT(Equity_Loan_Rate,M$10-Mezz_Loan_Grace,Equity_Loan_Tenor,M141-SUM($H148:L148)),0)</f>
        <v>0</v>
      </c>
      <c r="N144" s="164" t="n">
        <f aca="false">IFERROR(PPMT(Equity_Loan_Rate,N$10-Mezz_Loan_Grace,Equity_Loan_Tenor,N141-SUM($H148:M148)),0)</f>
        <v>0</v>
      </c>
      <c r="O144" s="164" t="n">
        <f aca="false">IFERROR(PPMT(Equity_Loan_Rate,O$10-Mezz_Loan_Grace,Equity_Loan_Tenor,O141-SUM($H148:N148)),0)</f>
        <v>0</v>
      </c>
      <c r="P144" s="164" t="n">
        <f aca="false">IFERROR(PPMT(Equity_Loan_Rate,P$10-Mezz_Loan_Grace,Equity_Loan_Tenor,P141-SUM($H148:O148)),0)</f>
        <v>0</v>
      </c>
      <c r="Q144" s="164" t="n">
        <f aca="false">IFERROR(PPMT(Equity_Loan_Rate,Q$10-Mezz_Loan_Grace,Equity_Loan_Tenor,Q141-SUM($H148:P148)),0)</f>
        <v>0</v>
      </c>
      <c r="R144" s="164" t="n">
        <f aca="false">IFERROR(PPMT(Equity_Loan_Rate,R$10-Mezz_Loan_Grace,Equity_Loan_Tenor,R141-SUM($H148:Q148)),0)</f>
        <v>0</v>
      </c>
      <c r="S144" s="164" t="n">
        <f aca="false">IFERROR(PPMT(Equity_Loan_Rate,S$10-Mezz_Loan_Grace,Equity_Loan_Tenor,S141-SUM($H148:R148)),0)</f>
        <v>0</v>
      </c>
      <c r="T144" s="164" t="n">
        <f aca="false">IFERROR(PPMT(Equity_Loan_Rate,T$10-Mezz_Loan_Grace,Equity_Loan_Tenor,T141-SUM($H148:S148)),0)</f>
        <v>0</v>
      </c>
      <c r="U144" s="164" t="n">
        <f aca="false">IFERROR(PPMT(Equity_Loan_Rate,U$10-Mezz_Loan_Grace,Equity_Loan_Tenor,U141-SUM($H148:T148)),0)</f>
        <v>0</v>
      </c>
      <c r="V144" s="164" t="n">
        <f aca="false">IFERROR(PPMT(Equity_Loan_Rate,V$10-Mezz_Loan_Grace,Equity_Loan_Tenor,V141-SUM($H148:U148)),0)</f>
        <v>0</v>
      </c>
      <c r="W144" s="164" t="n">
        <f aca="false">IFERROR(PPMT(Equity_Loan_Rate,W$10-Mezz_Loan_Grace,Equity_Loan_Tenor,W141-SUM($H148:V148)),0)</f>
        <v>0</v>
      </c>
      <c r="X144" s="164" t="n">
        <f aca="false">IFERROR(PPMT(Equity_Loan_Rate,X$10-Mezz_Loan_Grace,Equity_Loan_Tenor,X141-SUM($H148:W148)),0)</f>
        <v>0</v>
      </c>
      <c r="Y144" s="164" t="n">
        <f aca="false">IFERROR(PPMT(Equity_Loan_Rate,Y$10-Mezz_Loan_Grace,Equity_Loan_Tenor,Y141-SUM($H148:X148)),0)</f>
        <v>0</v>
      </c>
      <c r="Z144" s="164" t="n">
        <f aca="false">IFERROR(PPMT(Equity_Loan_Rate,Z$10-Mezz_Loan_Grace,Equity_Loan_Tenor,Z141-SUM($H148:Y148)),0)</f>
        <v>0</v>
      </c>
      <c r="AA144" s="164" t="n">
        <f aca="false">IFERROR(PPMT(Equity_Loan_Rate,AA$10-Mezz_Loan_Grace,Equity_Loan_Tenor,AA141-SUM($H148:Z148)),0)</f>
        <v>0</v>
      </c>
      <c r="AB144" s="164" t="n">
        <f aca="false">IFERROR(PPMT(Equity_Loan_Rate,AB$10-Mezz_Loan_Grace,Equity_Loan_Tenor,AB141-SUM($H148:AA148)),0)</f>
        <v>0</v>
      </c>
      <c r="AC144" s="164" t="n">
        <f aca="false">IFERROR(PPMT(Equity_Loan_Rate,AC$10-Mezz_Loan_Grace,Equity_Loan_Tenor,AC141-SUM($H148:AB148)),0)</f>
        <v>0</v>
      </c>
      <c r="AD144" s="164" t="n">
        <f aca="false">IFERROR(PPMT(Equity_Loan_Rate,AD$10-Mezz_Loan_Grace,Equity_Loan_Tenor,AD141-SUM($H148:AC148)),0)</f>
        <v>0</v>
      </c>
      <c r="AE144" s="164" t="n">
        <f aca="false">IFERROR(PPMT(Equity_Loan_Rate,AE$10-Mezz_Loan_Grace,Equity_Loan_Tenor,AE141-SUM($H148:AD148)),0)</f>
        <v>0</v>
      </c>
      <c r="AF144" s="164" t="n">
        <f aca="false">IFERROR(PPMT(Equity_Loan_Rate,AF$10-Mezz_Loan_Grace,Equity_Loan_Tenor,AF141-SUM($H148:AE148)),0)</f>
        <v>0</v>
      </c>
      <c r="AG144" s="164" t="n">
        <f aca="false">IFERROR(PPMT(Equity_Loan_Rate,AG$10-Mezz_Loan_Grace,Equity_Loan_Tenor,AG141-SUM($H148:AF148)),0)</f>
        <v>0</v>
      </c>
      <c r="AH144" s="164" t="n">
        <f aca="false">IFERROR(PPMT(Equity_Loan_Rate,AH$10-Mezz_Loan_Grace,Equity_Loan_Tenor,AH141-SUM($H148:AG148)),0)</f>
        <v>0</v>
      </c>
      <c r="AI144" s="164" t="n">
        <f aca="false">IFERROR(PPMT(Equity_Loan_Rate,AI$10-Mezz_Loan_Grace,Equity_Loan_Tenor,AI141-SUM($H148:AH148)),0)</f>
        <v>0</v>
      </c>
      <c r="AJ144" s="164" t="n">
        <f aca="false">IFERROR(PPMT(Equity_Loan_Rate,AJ$10-Mezz_Loan_Grace,Equity_Loan_Tenor,AJ141-SUM($H148:AI148)),0)</f>
        <v>0</v>
      </c>
      <c r="AK144" s="164" t="n">
        <f aca="false">IFERROR(PPMT(Equity_Loan_Rate,AK$10-Mezz_Loan_Grace,Equity_Loan_Tenor,AK141-SUM($H148:AJ148)),0)</f>
        <v>0</v>
      </c>
      <c r="AL144" s="164" t="n">
        <f aca="false">IFERROR(PPMT(Equity_Loan_Rate,AL$10-Mezz_Loan_Grace,Equity_Loan_Tenor,AL141-SUM($H148:AK148)),0)</f>
        <v>0</v>
      </c>
    </row>
    <row r="145" customFormat="false" ht="16.9" hidden="false" customHeight="true" outlineLevel="1" collapsed="false">
      <c r="A145" s="157"/>
      <c r="C145" s="166" t="s">
        <v>336</v>
      </c>
      <c r="D145" s="158"/>
      <c r="E145" s="118" t="s">
        <v>72</v>
      </c>
      <c r="F145" s="158"/>
      <c r="G145" s="158"/>
      <c r="H145" s="163"/>
      <c r="I145" s="167" t="e">
        <f aca="false">SUM(I141:I144)</f>
        <v>#VALUE!</v>
      </c>
      <c r="J145" s="167" t="e">
        <f aca="false">SUM(J141:J144)</f>
        <v>#VALUE!</v>
      </c>
      <c r="K145" s="167" t="e">
        <f aca="false">SUM(K141:K144)</f>
        <v>#VALUE!</v>
      </c>
      <c r="L145" s="167" t="e">
        <f aca="false">SUM(L141:L144)</f>
        <v>#VALUE!</v>
      </c>
      <c r="M145" s="167" t="e">
        <f aca="false">SUM(M141:M144)</f>
        <v>#VALUE!</v>
      </c>
      <c r="N145" s="167" t="e">
        <f aca="false">SUM(N141:N144)</f>
        <v>#VALUE!</v>
      </c>
      <c r="O145" s="167" t="e">
        <f aca="false">SUM(O141:O144)</f>
        <v>#VALUE!</v>
      </c>
      <c r="P145" s="167" t="e">
        <f aca="false">SUM(P141:P144)</f>
        <v>#VALUE!</v>
      </c>
      <c r="Q145" s="167" t="e">
        <f aca="false">SUM(Q141:Q144)</f>
        <v>#VALUE!</v>
      </c>
      <c r="R145" s="167" t="e">
        <f aca="false">SUM(R141:R144)</f>
        <v>#VALUE!</v>
      </c>
      <c r="S145" s="167" t="e">
        <f aca="false">SUM(S141:S144)</f>
        <v>#VALUE!</v>
      </c>
      <c r="T145" s="167" t="e">
        <f aca="false">SUM(T141:T144)</f>
        <v>#VALUE!</v>
      </c>
      <c r="U145" s="167" t="e">
        <f aca="false">SUM(U141:U144)</f>
        <v>#VALUE!</v>
      </c>
      <c r="V145" s="167" t="e">
        <f aca="false">SUM(V141:V144)</f>
        <v>#VALUE!</v>
      </c>
      <c r="W145" s="167" t="e">
        <f aca="false">SUM(W141:W144)</f>
        <v>#VALUE!</v>
      </c>
      <c r="X145" s="167" t="e">
        <f aca="false">SUM(X141:X144)</f>
        <v>#VALUE!</v>
      </c>
      <c r="Y145" s="167" t="e">
        <f aca="false">SUM(Y141:Y144)</f>
        <v>#VALUE!</v>
      </c>
      <c r="Z145" s="167" t="e">
        <f aca="false">SUM(Z141:Z144)</f>
        <v>#VALUE!</v>
      </c>
      <c r="AA145" s="167" t="e">
        <f aca="false">SUM(AA141:AA144)</f>
        <v>#VALUE!</v>
      </c>
      <c r="AB145" s="167" t="e">
        <f aca="false">SUM(AB141:AB144)</f>
        <v>#VALUE!</v>
      </c>
      <c r="AC145" s="167" t="e">
        <f aca="false">SUM(AC141:AC144)</f>
        <v>#VALUE!</v>
      </c>
      <c r="AD145" s="167" t="e">
        <f aca="false">SUM(AD141:AD144)</f>
        <v>#VALUE!</v>
      </c>
      <c r="AE145" s="167" t="e">
        <f aca="false">SUM(AE141:AE144)</f>
        <v>#VALUE!</v>
      </c>
      <c r="AF145" s="167" t="e">
        <f aca="false">SUM(AF141:AF144)</f>
        <v>#VALUE!</v>
      </c>
      <c r="AG145" s="167" t="e">
        <f aca="false">SUM(AG141:AG144)</f>
        <v>#VALUE!</v>
      </c>
      <c r="AH145" s="167" t="e">
        <f aca="false">SUM(AH141:AH144)</f>
        <v>#VALUE!</v>
      </c>
      <c r="AI145" s="167" t="e">
        <f aca="false">SUM(AI141:AI144)</f>
        <v>#VALUE!</v>
      </c>
      <c r="AJ145" s="167" t="e">
        <f aca="false">SUM(AJ141:AJ144)</f>
        <v>#VALUE!</v>
      </c>
      <c r="AK145" s="167" t="e">
        <f aca="false">SUM(AK141:AK144)</f>
        <v>#VALUE!</v>
      </c>
      <c r="AL145" s="167" t="e">
        <f aca="false">SUM(AL141:AL144)</f>
        <v>#VALUE!</v>
      </c>
    </row>
    <row r="146" customFormat="false" ht="16.9" hidden="false" customHeight="true" outlineLevel="1" collapsed="false">
      <c r="A146" s="157"/>
      <c r="C146" s="168"/>
      <c r="D146" s="169"/>
      <c r="E146" s="155"/>
      <c r="F146" s="169"/>
      <c r="G146" s="169"/>
      <c r="H146" s="161"/>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row>
    <row r="147" s="171" customFormat="true" ht="15" hidden="false" customHeight="false" outlineLevel="1" collapsed="false">
      <c r="C147" s="171" t="s">
        <v>270</v>
      </c>
      <c r="E147" s="172" t="s">
        <v>72</v>
      </c>
      <c r="G147" s="173"/>
      <c r="H147" s="174"/>
      <c r="I147" s="164" t="n">
        <f aca="false">-IF(Mezz_Loan_Grace&gt;(I10-H6),0,I7)*I141*Equity_Loan_Rate</f>
        <v>-0</v>
      </c>
      <c r="J147" s="164" t="e">
        <f aca="false">-IF(Mezz_Loan_Grace&gt;(J10-I6),0,J7)*J141*Equity_Loan_Rate</f>
        <v>#VALUE!</v>
      </c>
      <c r="K147" s="164" t="e">
        <f aca="false">-IF(Mezz_Loan_Grace&gt;(K10-J6),0,K7)*K141*Equity_Loan_Rate</f>
        <v>#VALUE!</v>
      </c>
      <c r="L147" s="164" t="e">
        <f aca="false">-IF(Mezz_Loan_Grace&gt;(L10-K6),0,L7)*L141*Equity_Loan_Rate</f>
        <v>#VALUE!</v>
      </c>
      <c r="M147" s="164" t="e">
        <f aca="false">-IF(Mezz_Loan_Grace&gt;(M10-L6),0,M7)*M141*Equity_Loan_Rate</f>
        <v>#VALUE!</v>
      </c>
      <c r="N147" s="164" t="e">
        <f aca="false">-IF(Mezz_Loan_Grace&gt;(N10-M6),0,N7)*N141*Equity_Loan_Rate</f>
        <v>#VALUE!</v>
      </c>
      <c r="O147" s="164" t="e">
        <f aca="false">-IF(Mezz_Loan_Grace&gt;(O10-N6),0,O7)*O141*Equity_Loan_Rate</f>
        <v>#VALUE!</v>
      </c>
      <c r="P147" s="164" t="e">
        <f aca="false">-IF(Mezz_Loan_Grace&gt;(P10-O6),0,P7)*P141*Equity_Loan_Rate</f>
        <v>#VALUE!</v>
      </c>
      <c r="Q147" s="164" t="e">
        <f aca="false">-IF(Mezz_Loan_Grace&gt;(Q10-P6),0,Q7)*Q141*Equity_Loan_Rate</f>
        <v>#VALUE!</v>
      </c>
      <c r="R147" s="164" t="e">
        <f aca="false">-IF(Mezz_Loan_Grace&gt;(R10-Q6),0,R7)*R141*Equity_Loan_Rate</f>
        <v>#VALUE!</v>
      </c>
      <c r="S147" s="164" t="e">
        <f aca="false">-IF(Mezz_Loan_Grace&gt;(S10-R6),0,S7)*S141*Equity_Loan_Rate</f>
        <v>#VALUE!</v>
      </c>
      <c r="T147" s="164" t="e">
        <f aca="false">-IF(Mezz_Loan_Grace&gt;(T10-S6),0,T7)*T141*Equity_Loan_Rate</f>
        <v>#VALUE!</v>
      </c>
      <c r="U147" s="164" t="e">
        <f aca="false">-IF(Mezz_Loan_Grace&gt;(U10-T6),0,U7)*U141*Equity_Loan_Rate</f>
        <v>#VALUE!</v>
      </c>
      <c r="V147" s="164" t="e">
        <f aca="false">-IF(Mezz_Loan_Grace&gt;(V10-U6),0,V7)*V141*Equity_Loan_Rate</f>
        <v>#VALUE!</v>
      </c>
      <c r="W147" s="164" t="e">
        <f aca="false">-IF(Mezz_Loan_Grace&gt;(W10-V6),0,W7)*W141*Equity_Loan_Rate</f>
        <v>#VALUE!</v>
      </c>
      <c r="X147" s="164" t="e">
        <f aca="false">-IF(Mezz_Loan_Grace&gt;(X10-W6),0,X7)*X141*Equity_Loan_Rate</f>
        <v>#VALUE!</v>
      </c>
      <c r="Y147" s="164" t="e">
        <f aca="false">-IF(Mezz_Loan_Grace&gt;(Y10-X6),0,Y7)*Y141*Equity_Loan_Rate</f>
        <v>#VALUE!</v>
      </c>
      <c r="Z147" s="164" t="e">
        <f aca="false">-IF(Mezz_Loan_Grace&gt;(Z10-Y6),0,Z7)*Z141*Equity_Loan_Rate</f>
        <v>#VALUE!</v>
      </c>
      <c r="AA147" s="164" t="e">
        <f aca="false">-IF(Mezz_Loan_Grace&gt;(AA10-Z6),0,AA7)*AA141*Equity_Loan_Rate</f>
        <v>#VALUE!</v>
      </c>
      <c r="AB147" s="164" t="e">
        <f aca="false">-IF(Mezz_Loan_Grace&gt;(AB10-AA6),0,AB7)*AB141*Equity_Loan_Rate</f>
        <v>#VALUE!</v>
      </c>
      <c r="AC147" s="164" t="e">
        <f aca="false">-IF(Mezz_Loan_Grace&gt;(AC10-AB6),0,AC7)*AC141*Equity_Loan_Rate</f>
        <v>#VALUE!</v>
      </c>
      <c r="AD147" s="164" t="e">
        <f aca="false">-IF(Mezz_Loan_Grace&gt;(AD10-AC6),0,AD7)*AD141*Equity_Loan_Rate</f>
        <v>#VALUE!</v>
      </c>
      <c r="AE147" s="164" t="e">
        <f aca="false">-IF(Mezz_Loan_Grace&gt;(AE10-AD6),0,AE7)*AE141*Equity_Loan_Rate</f>
        <v>#VALUE!</v>
      </c>
      <c r="AF147" s="164" t="e">
        <f aca="false">-IF(Mezz_Loan_Grace&gt;(AF10-AE6),0,AF7)*AF141*Equity_Loan_Rate</f>
        <v>#VALUE!</v>
      </c>
      <c r="AG147" s="164" t="e">
        <f aca="false">-IF(Mezz_Loan_Grace&gt;(AG10-AF6),0,AG7)*AG141*Equity_Loan_Rate</f>
        <v>#VALUE!</v>
      </c>
      <c r="AH147" s="164" t="e">
        <f aca="false">-IF(Mezz_Loan_Grace&gt;(AH10-AG6),0,AH7)*AH141*Equity_Loan_Rate</f>
        <v>#VALUE!</v>
      </c>
      <c r="AI147" s="164" t="e">
        <f aca="false">-IF(Mezz_Loan_Grace&gt;(AI10-AH6),0,AI7)*AI141*Equity_Loan_Rate</f>
        <v>#VALUE!</v>
      </c>
      <c r="AJ147" s="164" t="e">
        <f aca="false">-IF(Mezz_Loan_Grace&gt;(AJ10-AI6),0,AJ7)*AJ141*Equity_Loan_Rate</f>
        <v>#VALUE!</v>
      </c>
      <c r="AK147" s="164" t="e">
        <f aca="false">-IF(Mezz_Loan_Grace&gt;(AK10-AJ6),0,AK7)*AK141*Equity_Loan_Rate</f>
        <v>#VALUE!</v>
      </c>
      <c r="AL147" s="164" t="e">
        <f aca="false">-IF(Mezz_Loan_Grace&gt;(AL10-AK6),0,AL7)*AL141*Equity_Loan_Rate</f>
        <v>#VALUE!</v>
      </c>
    </row>
    <row r="148" s="157" customFormat="true" ht="16.9" hidden="false" customHeight="true" outlineLevel="1" collapsed="false">
      <c r="C148" s="165" t="s">
        <v>269</v>
      </c>
      <c r="E148" s="104" t="s">
        <v>72</v>
      </c>
      <c r="H148" s="161"/>
      <c r="I148" s="164" t="n">
        <f aca="false">I144</f>
        <v>0</v>
      </c>
      <c r="J148" s="164" t="n">
        <f aca="false">J144</f>
        <v>0</v>
      </c>
      <c r="K148" s="164" t="n">
        <f aca="false">K144</f>
        <v>0</v>
      </c>
      <c r="L148" s="164" t="n">
        <f aca="false">L144</f>
        <v>0</v>
      </c>
      <c r="M148" s="164" t="n">
        <f aca="false">M144</f>
        <v>0</v>
      </c>
      <c r="N148" s="164" t="n">
        <f aca="false">N144</f>
        <v>0</v>
      </c>
      <c r="O148" s="164" t="n">
        <f aca="false">O144</f>
        <v>0</v>
      </c>
      <c r="P148" s="164" t="n">
        <f aca="false">P144</f>
        <v>0</v>
      </c>
      <c r="Q148" s="164" t="n">
        <f aca="false">Q144</f>
        <v>0</v>
      </c>
      <c r="R148" s="164" t="n">
        <f aca="false">R144</f>
        <v>0</v>
      </c>
      <c r="S148" s="164" t="n">
        <f aca="false">S144</f>
        <v>0</v>
      </c>
      <c r="T148" s="164" t="n">
        <f aca="false">T144</f>
        <v>0</v>
      </c>
      <c r="U148" s="164" t="n">
        <f aca="false">U144</f>
        <v>0</v>
      </c>
      <c r="V148" s="164" t="n">
        <f aca="false">V144</f>
        <v>0</v>
      </c>
      <c r="W148" s="164" t="n">
        <f aca="false">W144</f>
        <v>0</v>
      </c>
      <c r="X148" s="164" t="n">
        <f aca="false">X144</f>
        <v>0</v>
      </c>
      <c r="Y148" s="164" t="n">
        <f aca="false">Y144</f>
        <v>0</v>
      </c>
      <c r="Z148" s="164" t="n">
        <f aca="false">Z144</f>
        <v>0</v>
      </c>
      <c r="AA148" s="164" t="n">
        <f aca="false">AA144</f>
        <v>0</v>
      </c>
      <c r="AB148" s="164" t="n">
        <f aca="false">AB144</f>
        <v>0</v>
      </c>
      <c r="AC148" s="164" t="n">
        <f aca="false">AC144</f>
        <v>0</v>
      </c>
      <c r="AD148" s="164" t="n">
        <f aca="false">AD144</f>
        <v>0</v>
      </c>
      <c r="AE148" s="164" t="n">
        <f aca="false">AE144</f>
        <v>0</v>
      </c>
      <c r="AF148" s="164" t="n">
        <f aca="false">AF144</f>
        <v>0</v>
      </c>
      <c r="AG148" s="164" t="n">
        <f aca="false">AG144</f>
        <v>0</v>
      </c>
      <c r="AH148" s="164" t="n">
        <f aca="false">AH144</f>
        <v>0</v>
      </c>
      <c r="AI148" s="164" t="n">
        <f aca="false">AI144</f>
        <v>0</v>
      </c>
      <c r="AJ148" s="164" t="n">
        <f aca="false">AJ144</f>
        <v>0</v>
      </c>
      <c r="AK148" s="164" t="n">
        <f aca="false">AK144</f>
        <v>0</v>
      </c>
      <c r="AL148" s="164" t="n">
        <f aca="false">AL144</f>
        <v>0</v>
      </c>
    </row>
    <row r="149" s="171" customFormat="true" ht="15" hidden="false" customHeight="false" outlineLevel="1" collapsed="false">
      <c r="C149" s="175" t="s">
        <v>360</v>
      </c>
      <c r="D149" s="175"/>
      <c r="E149" s="176" t="s">
        <v>72</v>
      </c>
      <c r="F149" s="175"/>
      <c r="G149" s="177"/>
      <c r="H149" s="178"/>
      <c r="I149" s="167" t="n">
        <f aca="false">SUM(I147:I148)</f>
        <v>0</v>
      </c>
      <c r="J149" s="167" t="e">
        <f aca="false">SUM(J147:J148)</f>
        <v>#VALUE!</v>
      </c>
      <c r="K149" s="167" t="e">
        <f aca="false">SUM(K147:K148)</f>
        <v>#VALUE!</v>
      </c>
      <c r="L149" s="167" t="e">
        <f aca="false">SUM(L147:L148)</f>
        <v>#VALUE!</v>
      </c>
      <c r="M149" s="167" t="e">
        <f aca="false">SUM(M147:M148)</f>
        <v>#VALUE!</v>
      </c>
      <c r="N149" s="167" t="e">
        <f aca="false">SUM(N147:N148)</f>
        <v>#VALUE!</v>
      </c>
      <c r="O149" s="167" t="e">
        <f aca="false">SUM(O147:O148)</f>
        <v>#VALUE!</v>
      </c>
      <c r="P149" s="167" t="e">
        <f aca="false">SUM(P147:P148)</f>
        <v>#VALUE!</v>
      </c>
      <c r="Q149" s="167" t="e">
        <f aca="false">SUM(Q147:Q148)</f>
        <v>#VALUE!</v>
      </c>
      <c r="R149" s="167" t="e">
        <f aca="false">SUM(R147:R148)</f>
        <v>#VALUE!</v>
      </c>
      <c r="S149" s="167" t="e">
        <f aca="false">SUM(S147:S148)</f>
        <v>#VALUE!</v>
      </c>
      <c r="T149" s="167" t="e">
        <f aca="false">SUM(T147:T148)</f>
        <v>#VALUE!</v>
      </c>
      <c r="U149" s="167" t="e">
        <f aca="false">SUM(U147:U148)</f>
        <v>#VALUE!</v>
      </c>
      <c r="V149" s="167" t="e">
        <f aca="false">SUM(V147:V148)</f>
        <v>#VALUE!</v>
      </c>
      <c r="W149" s="167" t="e">
        <f aca="false">SUM(W147:W148)</f>
        <v>#VALUE!</v>
      </c>
      <c r="X149" s="167" t="e">
        <f aca="false">SUM(X147:X148)</f>
        <v>#VALUE!</v>
      </c>
      <c r="Y149" s="167" t="e">
        <f aca="false">SUM(Y147:Y148)</f>
        <v>#VALUE!</v>
      </c>
      <c r="Z149" s="167" t="e">
        <f aca="false">SUM(Z147:Z148)</f>
        <v>#VALUE!</v>
      </c>
      <c r="AA149" s="167" t="e">
        <f aca="false">SUM(AA147:AA148)</f>
        <v>#VALUE!</v>
      </c>
      <c r="AB149" s="167" t="e">
        <f aca="false">SUM(AB147:AB148)</f>
        <v>#VALUE!</v>
      </c>
      <c r="AC149" s="167" t="e">
        <f aca="false">SUM(AC147:AC148)</f>
        <v>#VALUE!</v>
      </c>
      <c r="AD149" s="167" t="e">
        <f aca="false">SUM(AD147:AD148)</f>
        <v>#VALUE!</v>
      </c>
      <c r="AE149" s="167" t="e">
        <f aca="false">SUM(AE147:AE148)</f>
        <v>#VALUE!</v>
      </c>
      <c r="AF149" s="167" t="e">
        <f aca="false">SUM(AF147:AF148)</f>
        <v>#VALUE!</v>
      </c>
      <c r="AG149" s="167" t="e">
        <f aca="false">SUM(AG147:AG148)</f>
        <v>#VALUE!</v>
      </c>
      <c r="AH149" s="167" t="e">
        <f aca="false">SUM(AH147:AH148)</f>
        <v>#VALUE!</v>
      </c>
      <c r="AI149" s="167" t="e">
        <f aca="false">SUM(AI147:AI148)</f>
        <v>#VALUE!</v>
      </c>
      <c r="AJ149" s="167" t="e">
        <f aca="false">SUM(AJ147:AJ148)</f>
        <v>#VALUE!</v>
      </c>
      <c r="AK149" s="167" t="e">
        <f aca="false">SUM(AK147:AK148)</f>
        <v>#VALUE!</v>
      </c>
      <c r="AL149" s="167" t="e">
        <f aca="false">SUM(AL147:AL148)</f>
        <v>#VALUE!</v>
      </c>
    </row>
    <row r="150" customFormat="false" ht="15" hidden="false" customHeight="false" outlineLevel="1" collapsed="false">
      <c r="A150" s="171"/>
      <c r="B150" s="171"/>
      <c r="E150" s="172"/>
      <c r="G150" s="173"/>
      <c r="H150" s="17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row>
    <row r="151" customFormat="false" ht="15" hidden="false" customHeight="false" outlineLevel="1" collapsed="false">
      <c r="A151" s="171"/>
      <c r="B151" s="2" t="e">
        <f aca="false">(MAX($A$7:B150)+0.1)</f>
        <v>#VALUE!</v>
      </c>
      <c r="C151" s="2" t="s">
        <v>361</v>
      </c>
      <c r="E151" s="172"/>
      <c r="G151" s="173"/>
      <c r="H151" s="17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row>
    <row r="152" customFormat="false" ht="15" hidden="false" customHeight="false" outlineLevel="1" collapsed="false">
      <c r="A152" s="171"/>
      <c r="E152" s="172"/>
      <c r="G152" s="173"/>
      <c r="H152" s="17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row>
    <row r="153" customFormat="false" ht="15" hidden="false" customHeight="false" outlineLevel="1" collapsed="false">
      <c r="A153" s="171"/>
      <c r="C153" s="171" t="str">
        <f aca="false">'Cash Flow'!C91</f>
        <v>Cash available for junior debt service</v>
      </c>
      <c r="E153" s="104" t="s">
        <v>72</v>
      </c>
      <c r="G153" s="173"/>
      <c r="H153" s="174"/>
      <c r="I153" s="164"/>
      <c r="J153" s="164" t="e">
        <f aca="false">'Cash Flow'!J85</f>
        <v>#VALUE!</v>
      </c>
      <c r="K153" s="164" t="e">
        <f aca="false">'Cash Flow'!K85</f>
        <v>#VALUE!</v>
      </c>
      <c r="L153" s="164" t="e">
        <f aca="false">'Cash Flow'!L85</f>
        <v>#VALUE!</v>
      </c>
      <c r="M153" s="164" t="e">
        <f aca="false">'Cash Flow'!M85</f>
        <v>#VALUE!</v>
      </c>
      <c r="N153" s="164" t="e">
        <f aca="false">'Cash Flow'!N85</f>
        <v>#VALUE!</v>
      </c>
      <c r="O153" s="164" t="e">
        <f aca="false">'Cash Flow'!O85</f>
        <v>#VALUE!</v>
      </c>
      <c r="P153" s="164" t="e">
        <f aca="false">'Cash Flow'!P85</f>
        <v>#VALUE!</v>
      </c>
      <c r="Q153" s="164" t="e">
        <f aca="false">'Cash Flow'!Q85</f>
        <v>#VALUE!</v>
      </c>
      <c r="R153" s="164" t="e">
        <f aca="false">'Cash Flow'!R85</f>
        <v>#VALUE!</v>
      </c>
      <c r="S153" s="164" t="e">
        <f aca="false">'Cash Flow'!S85</f>
        <v>#VALUE!</v>
      </c>
      <c r="T153" s="164" t="e">
        <f aca="false">'Cash Flow'!T85</f>
        <v>#VALUE!</v>
      </c>
      <c r="U153" s="164" t="e">
        <f aca="false">'Cash Flow'!U85</f>
        <v>#VALUE!</v>
      </c>
      <c r="V153" s="164" t="e">
        <f aca="false">'Cash Flow'!V85</f>
        <v>#VALUE!</v>
      </c>
      <c r="W153" s="164" t="e">
        <f aca="false">'Cash Flow'!W85</f>
        <v>#VALUE!</v>
      </c>
      <c r="X153" s="164" t="e">
        <f aca="false">'Cash Flow'!X85</f>
        <v>#VALUE!</v>
      </c>
      <c r="Y153" s="164" t="e">
        <f aca="false">'Cash Flow'!Y85</f>
        <v>#VALUE!</v>
      </c>
      <c r="Z153" s="164" t="e">
        <f aca="false">'Cash Flow'!Z85</f>
        <v>#VALUE!</v>
      </c>
      <c r="AA153" s="164" t="e">
        <f aca="false">'Cash Flow'!AA85</f>
        <v>#VALUE!</v>
      </c>
      <c r="AB153" s="164" t="e">
        <f aca="false">'Cash Flow'!AB85</f>
        <v>#VALUE!</v>
      </c>
      <c r="AC153" s="164" t="e">
        <f aca="false">'Cash Flow'!AC85</f>
        <v>#VALUE!</v>
      </c>
      <c r="AD153" s="164" t="e">
        <f aca="false">'Cash Flow'!AD85</f>
        <v>#VALUE!</v>
      </c>
      <c r="AE153" s="164" t="e">
        <f aca="false">'Cash Flow'!AE85</f>
        <v>#VALUE!</v>
      </c>
      <c r="AF153" s="164" t="e">
        <f aca="false">'Cash Flow'!AF85</f>
        <v>#VALUE!</v>
      </c>
      <c r="AG153" s="164" t="e">
        <f aca="false">'Cash Flow'!AG85</f>
        <v>#VALUE!</v>
      </c>
      <c r="AH153" s="164" t="e">
        <f aca="false">'Cash Flow'!AH85</f>
        <v>#VALUE!</v>
      </c>
      <c r="AI153" s="164" t="e">
        <f aca="false">'Cash Flow'!AI85</f>
        <v>#VALUE!</v>
      </c>
      <c r="AJ153" s="164" t="e">
        <f aca="false">'Cash Flow'!AJ85</f>
        <v>#VALUE!</v>
      </c>
      <c r="AK153" s="164" t="e">
        <f aca="false">'Cash Flow'!AK85</f>
        <v>#VALUE!</v>
      </c>
      <c r="AL153" s="164" t="e">
        <f aca="false">'Cash Flow'!AL85</f>
        <v>#VALUE!</v>
      </c>
    </row>
    <row r="154" customFormat="false" ht="15" hidden="false" customHeight="false" outlineLevel="1" collapsed="false">
      <c r="A154" s="171"/>
      <c r="E154" s="172"/>
      <c r="G154" s="173"/>
      <c r="H154" s="17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row>
    <row r="155" customFormat="false" ht="15" hidden="false" customHeight="false" outlineLevel="1" collapsed="false">
      <c r="A155" s="171"/>
      <c r="C155" s="0" t="s">
        <v>327</v>
      </c>
      <c r="E155" s="104" t="s">
        <v>72</v>
      </c>
      <c r="G155" s="173"/>
      <c r="H155" s="174"/>
      <c r="I155" s="164" t="n">
        <f aca="false">H159</f>
        <v>0</v>
      </c>
      <c r="J155" s="164" t="e">
        <f aca="false">I159</f>
        <v>#VALUE!</v>
      </c>
      <c r="K155" s="164" t="e">
        <f aca="false">J159</f>
        <v>#VALUE!</v>
      </c>
      <c r="L155" s="164" t="e">
        <f aca="false">K159</f>
        <v>#VALUE!</v>
      </c>
      <c r="M155" s="164" t="e">
        <f aca="false">L159</f>
        <v>#VALUE!</v>
      </c>
      <c r="N155" s="164" t="e">
        <f aca="false">M159</f>
        <v>#VALUE!</v>
      </c>
      <c r="O155" s="164" t="e">
        <f aca="false">N159</f>
        <v>#VALUE!</v>
      </c>
      <c r="P155" s="164" t="e">
        <f aca="false">O159</f>
        <v>#VALUE!</v>
      </c>
      <c r="Q155" s="164" t="e">
        <f aca="false">P159</f>
        <v>#VALUE!</v>
      </c>
      <c r="R155" s="164" t="e">
        <f aca="false">Q159</f>
        <v>#VALUE!</v>
      </c>
      <c r="S155" s="164" t="e">
        <f aca="false">R159</f>
        <v>#VALUE!</v>
      </c>
      <c r="T155" s="164" t="e">
        <f aca="false">S159</f>
        <v>#VALUE!</v>
      </c>
      <c r="U155" s="164" t="e">
        <f aca="false">T159</f>
        <v>#VALUE!</v>
      </c>
      <c r="V155" s="164" t="e">
        <f aca="false">U159</f>
        <v>#VALUE!</v>
      </c>
      <c r="W155" s="164" t="e">
        <f aca="false">V159</f>
        <v>#VALUE!</v>
      </c>
      <c r="X155" s="164" t="e">
        <f aca="false">W159</f>
        <v>#VALUE!</v>
      </c>
      <c r="Y155" s="164" t="e">
        <f aca="false">X159</f>
        <v>#VALUE!</v>
      </c>
      <c r="Z155" s="164" t="e">
        <f aca="false">Y159</f>
        <v>#VALUE!</v>
      </c>
      <c r="AA155" s="164" t="e">
        <f aca="false">Z159</f>
        <v>#VALUE!</v>
      </c>
      <c r="AB155" s="164" t="e">
        <f aca="false">AA159</f>
        <v>#VALUE!</v>
      </c>
      <c r="AC155" s="164" t="e">
        <f aca="false">AB159</f>
        <v>#VALUE!</v>
      </c>
      <c r="AD155" s="164" t="e">
        <f aca="false">AC159</f>
        <v>#VALUE!</v>
      </c>
      <c r="AE155" s="164" t="e">
        <f aca="false">AD159</f>
        <v>#VALUE!</v>
      </c>
      <c r="AF155" s="164" t="e">
        <f aca="false">AE159</f>
        <v>#VALUE!</v>
      </c>
      <c r="AG155" s="164" t="e">
        <f aca="false">AF159</f>
        <v>#VALUE!</v>
      </c>
      <c r="AH155" s="164" t="e">
        <f aca="false">AG159</f>
        <v>#VALUE!</v>
      </c>
      <c r="AI155" s="164" t="e">
        <f aca="false">AH159</f>
        <v>#VALUE!</v>
      </c>
      <c r="AJ155" s="164" t="e">
        <f aca="false">AI159</f>
        <v>#VALUE!</v>
      </c>
      <c r="AK155" s="164" t="e">
        <f aca="false">AJ159</f>
        <v>#VALUE!</v>
      </c>
      <c r="AL155" s="164" t="e">
        <f aca="false">AK159</f>
        <v>#VALUE!</v>
      </c>
    </row>
    <row r="156" customFormat="false" ht="15" hidden="false" customHeight="false" outlineLevel="1" collapsed="false">
      <c r="A156" s="171"/>
      <c r="C156" s="165" t="s">
        <v>357</v>
      </c>
      <c r="D156" s="157"/>
      <c r="E156" s="104" t="s">
        <v>72</v>
      </c>
      <c r="G156" s="173"/>
      <c r="H156" s="174"/>
      <c r="I156" s="164" t="e">
        <f aca="false">I46*Equity_Leverage</f>
        <v>#VALUE!</v>
      </c>
      <c r="J156" s="164" t="e">
        <f aca="false">J46*Equity_Leverage</f>
        <v>#VALUE!</v>
      </c>
      <c r="K156" s="164" t="e">
        <f aca="false">K46*Equity_Leverage</f>
        <v>#VALUE!</v>
      </c>
      <c r="L156" s="164" t="e">
        <f aca="false">L46*Equity_Leverage</f>
        <v>#VALUE!</v>
      </c>
      <c r="M156" s="164" t="e">
        <f aca="false">M46*Equity_Leverage</f>
        <v>#VALUE!</v>
      </c>
      <c r="N156" s="164" t="e">
        <f aca="false">N46*Equity_Leverage</f>
        <v>#VALUE!</v>
      </c>
      <c r="O156" s="164" t="e">
        <f aca="false">O46*Equity_Leverage</f>
        <v>#VALUE!</v>
      </c>
      <c r="P156" s="164" t="e">
        <f aca="false">P46*Equity_Leverage</f>
        <v>#VALUE!</v>
      </c>
      <c r="Q156" s="164" t="e">
        <f aca="false">Q46*Equity_Leverage</f>
        <v>#VALUE!</v>
      </c>
      <c r="R156" s="164" t="e">
        <f aca="false">R46*Equity_Leverage</f>
        <v>#VALUE!</v>
      </c>
      <c r="S156" s="164" t="e">
        <f aca="false">S46*Equity_Leverage</f>
        <v>#VALUE!</v>
      </c>
      <c r="T156" s="164" t="e">
        <f aca="false">T46*Equity_Leverage</f>
        <v>#VALUE!</v>
      </c>
      <c r="U156" s="164" t="e">
        <f aca="false">U46*Equity_Leverage</f>
        <v>#VALUE!</v>
      </c>
      <c r="V156" s="164" t="e">
        <f aca="false">V46*Equity_Leverage</f>
        <v>#VALUE!</v>
      </c>
      <c r="W156" s="164" t="e">
        <f aca="false">W46*Equity_Leverage</f>
        <v>#VALUE!</v>
      </c>
      <c r="X156" s="164" t="e">
        <f aca="false">X46*Equity_Leverage</f>
        <v>#VALUE!</v>
      </c>
      <c r="Y156" s="164" t="e">
        <f aca="false">Y46*Equity_Leverage</f>
        <v>#VALUE!</v>
      </c>
      <c r="Z156" s="164" t="e">
        <f aca="false">Z46*Equity_Leverage</f>
        <v>#VALUE!</v>
      </c>
      <c r="AA156" s="164" t="e">
        <f aca="false">AA46*Equity_Leverage</f>
        <v>#VALUE!</v>
      </c>
      <c r="AB156" s="164" t="e">
        <f aca="false">AB46*Equity_Leverage</f>
        <v>#VALUE!</v>
      </c>
      <c r="AC156" s="164" t="e">
        <f aca="false">AC46*Equity_Leverage</f>
        <v>#VALUE!</v>
      </c>
      <c r="AD156" s="164" t="e">
        <f aca="false">AD46*Equity_Leverage</f>
        <v>#VALUE!</v>
      </c>
      <c r="AE156" s="164" t="e">
        <f aca="false">AE46*Equity_Leverage</f>
        <v>#VALUE!</v>
      </c>
      <c r="AF156" s="164" t="e">
        <f aca="false">AF46*Equity_Leverage</f>
        <v>#VALUE!</v>
      </c>
      <c r="AG156" s="164" t="e">
        <f aca="false">AG46*Equity_Leverage</f>
        <v>#VALUE!</v>
      </c>
      <c r="AH156" s="164" t="e">
        <f aca="false">AH46*Equity_Leverage</f>
        <v>#VALUE!</v>
      </c>
      <c r="AI156" s="164" t="e">
        <f aca="false">AI46*Equity_Leverage</f>
        <v>#VALUE!</v>
      </c>
      <c r="AJ156" s="164" t="e">
        <f aca="false">AJ46*Equity_Leverage</f>
        <v>#VALUE!</v>
      </c>
      <c r="AK156" s="164" t="e">
        <f aca="false">AK46*Equity_Leverage</f>
        <v>#VALUE!</v>
      </c>
      <c r="AL156" s="164" t="e">
        <f aca="false">AL46*Equity_Leverage</f>
        <v>#VALUE!</v>
      </c>
    </row>
    <row r="157" customFormat="false" ht="15" hidden="false" customHeight="false" outlineLevel="1" collapsed="false">
      <c r="A157" s="171"/>
      <c r="C157" s="165" t="s">
        <v>335</v>
      </c>
      <c r="D157" s="157"/>
      <c r="E157" s="104" t="s">
        <v>72</v>
      </c>
      <c r="F157" s="157"/>
      <c r="G157" s="157"/>
      <c r="H157" s="161"/>
      <c r="I157" s="122" t="e">
        <f aca="false">I$6*(I155+SUM(I156)/2)*Equity_Loan_Rate</f>
        <v>#VALUE!</v>
      </c>
      <c r="J157" s="122" t="e">
        <f aca="false">J$6*(J155+SUM(J156)/2)*Equity_Loan_Rate</f>
        <v>#VALUE!</v>
      </c>
      <c r="K157" s="122" t="e">
        <f aca="false">K$6*(K155+SUM(K156)/2)*Equity_Loan_Rate</f>
        <v>#VALUE!</v>
      </c>
      <c r="L157" s="122" t="e">
        <f aca="false">L$6*(L155+SUM(L156)/2)*Equity_Loan_Rate</f>
        <v>#VALUE!</v>
      </c>
      <c r="M157" s="122" t="e">
        <f aca="false">M$6*(M155+SUM(M156)/2)*Equity_Loan_Rate</f>
        <v>#VALUE!</v>
      </c>
      <c r="N157" s="122" t="e">
        <f aca="false">N$6*(N155+SUM(N156)/2)*Equity_Loan_Rate</f>
        <v>#VALUE!</v>
      </c>
      <c r="O157" s="122" t="e">
        <f aca="false">O$6*(O155+SUM(O156)/2)*Equity_Loan_Rate</f>
        <v>#VALUE!</v>
      </c>
      <c r="P157" s="122" t="e">
        <f aca="false">P$6*(P155+SUM(P156)/2)*Equity_Loan_Rate</f>
        <v>#VALUE!</v>
      </c>
      <c r="Q157" s="122" t="e">
        <f aca="false">Q$6*(Q155+SUM(Q156)/2)*Equity_Loan_Rate</f>
        <v>#VALUE!</v>
      </c>
      <c r="R157" s="122" t="e">
        <f aca="false">R$6*(R155+SUM(R156)/2)*Equity_Loan_Rate</f>
        <v>#VALUE!</v>
      </c>
      <c r="S157" s="122" t="e">
        <f aca="false">S$6*(S155+SUM(S156)/2)*Equity_Loan_Rate</f>
        <v>#VALUE!</v>
      </c>
      <c r="T157" s="122" t="e">
        <f aca="false">T$6*(T155+SUM(T156)/2)*Equity_Loan_Rate</f>
        <v>#VALUE!</v>
      </c>
      <c r="U157" s="122" t="e">
        <f aca="false">U$6*(U155+SUM(U156)/2)*Equity_Loan_Rate</f>
        <v>#VALUE!</v>
      </c>
      <c r="V157" s="122" t="e">
        <f aca="false">V$6*(V155+SUM(V156)/2)*Equity_Loan_Rate</f>
        <v>#VALUE!</v>
      </c>
      <c r="W157" s="122" t="e">
        <f aca="false">W$6*(W155+SUM(W156)/2)*Equity_Loan_Rate</f>
        <v>#VALUE!</v>
      </c>
      <c r="X157" s="122" t="e">
        <f aca="false">X$6*(X155+SUM(X156)/2)*Equity_Loan_Rate</f>
        <v>#VALUE!</v>
      </c>
      <c r="Y157" s="122" t="e">
        <f aca="false">Y$6*(Y155+SUM(Y156)/2)*Equity_Loan_Rate</f>
        <v>#VALUE!</v>
      </c>
      <c r="Z157" s="122" t="e">
        <f aca="false">Z$6*(Z155+SUM(Z156)/2)*Equity_Loan_Rate</f>
        <v>#VALUE!</v>
      </c>
      <c r="AA157" s="122" t="e">
        <f aca="false">AA$6*(AA155+SUM(AA156)/2)*Equity_Loan_Rate</f>
        <v>#VALUE!</v>
      </c>
      <c r="AB157" s="122" t="e">
        <f aca="false">AB$6*(AB155+SUM(AB156)/2)*Equity_Loan_Rate</f>
        <v>#VALUE!</v>
      </c>
      <c r="AC157" s="122" t="e">
        <f aca="false">AC$6*(AC155+SUM(AC156)/2)*Equity_Loan_Rate</f>
        <v>#VALUE!</v>
      </c>
      <c r="AD157" s="122" t="e">
        <f aca="false">AD$6*(AD155+SUM(AD156)/2)*Equity_Loan_Rate</f>
        <v>#VALUE!</v>
      </c>
      <c r="AE157" s="122" t="e">
        <f aca="false">AE$6*(AE155+SUM(AE156)/2)*Equity_Loan_Rate</f>
        <v>#VALUE!</v>
      </c>
      <c r="AF157" s="122" t="e">
        <f aca="false">AF$6*(AF155+SUM(AF156)/2)*Equity_Loan_Rate</f>
        <v>#VALUE!</v>
      </c>
      <c r="AG157" s="122" t="e">
        <f aca="false">AG$6*(AG155+SUM(AG156)/2)*Equity_Loan_Rate</f>
        <v>#VALUE!</v>
      </c>
      <c r="AH157" s="122" t="e">
        <f aca="false">AH$6*(AH155+SUM(AH156)/2)*Equity_Loan_Rate</f>
        <v>#VALUE!</v>
      </c>
      <c r="AI157" s="122" t="e">
        <f aca="false">AI$6*(AI155+SUM(AI156)/2)*Equity_Loan_Rate</f>
        <v>#VALUE!</v>
      </c>
      <c r="AJ157" s="122" t="e">
        <f aca="false">AJ$6*(AJ155+SUM(AJ156)/2)*Equity_Loan_Rate</f>
        <v>#VALUE!</v>
      </c>
      <c r="AK157" s="122" t="e">
        <f aca="false">AK$6*(AK155+SUM(AK156)/2)*Equity_Loan_Rate</f>
        <v>#VALUE!</v>
      </c>
      <c r="AL157" s="122" t="e">
        <f aca="false">AL$6*(AL155+SUM(AL156)/2)*Equity_Loan_Rate</f>
        <v>#VALUE!</v>
      </c>
    </row>
    <row r="158" customFormat="false" ht="15" hidden="false" customHeight="false" outlineLevel="1" collapsed="false">
      <c r="A158" s="171"/>
      <c r="C158" s="165" t="s">
        <v>358</v>
      </c>
      <c r="D158" s="157"/>
      <c r="E158" s="104" t="s">
        <v>72</v>
      </c>
      <c r="G158" s="173"/>
      <c r="H158" s="174"/>
      <c r="I158" s="164" t="n">
        <f aca="false">-MIN((I153+I161),I155)</f>
        <v>-0</v>
      </c>
      <c r="J158" s="164" t="e">
        <f aca="false">-MIN((J153+J161),J155)</f>
        <v>#VALUE!</v>
      </c>
      <c r="K158" s="164" t="e">
        <f aca="false">-MIN((K153+K161),K155)</f>
        <v>#VALUE!</v>
      </c>
      <c r="L158" s="164" t="e">
        <f aca="false">-MIN((L153+L161),L155)</f>
        <v>#VALUE!</v>
      </c>
      <c r="M158" s="164" t="e">
        <f aca="false">-MIN((M153+M161),M155)</f>
        <v>#VALUE!</v>
      </c>
      <c r="N158" s="164" t="e">
        <f aca="false">-MIN((N153+N161),N155)</f>
        <v>#VALUE!</v>
      </c>
      <c r="O158" s="164" t="e">
        <f aca="false">-MIN((O153+O161),O155)</f>
        <v>#VALUE!</v>
      </c>
      <c r="P158" s="164" t="e">
        <f aca="false">-MIN((P153+P161),P155)</f>
        <v>#VALUE!</v>
      </c>
      <c r="Q158" s="164" t="e">
        <f aca="false">-MIN((Q153+Q161),Q155)</f>
        <v>#VALUE!</v>
      </c>
      <c r="R158" s="164" t="e">
        <f aca="false">-MIN((R153+R161),R155)</f>
        <v>#VALUE!</v>
      </c>
      <c r="S158" s="164" t="e">
        <f aca="false">-MIN((S153+S161),S155)</f>
        <v>#VALUE!</v>
      </c>
      <c r="T158" s="164" t="e">
        <f aca="false">-MIN((T153+T161),T155)</f>
        <v>#VALUE!</v>
      </c>
      <c r="U158" s="164" t="e">
        <f aca="false">-MIN((U153+U161),U155)</f>
        <v>#VALUE!</v>
      </c>
      <c r="V158" s="164" t="e">
        <f aca="false">-MIN((V153+V161),V155)</f>
        <v>#VALUE!</v>
      </c>
      <c r="W158" s="164" t="e">
        <f aca="false">-MIN((W153+W161),W155)</f>
        <v>#VALUE!</v>
      </c>
      <c r="X158" s="164" t="e">
        <f aca="false">-MIN((X153+X161),X155)</f>
        <v>#VALUE!</v>
      </c>
      <c r="Y158" s="164" t="e">
        <f aca="false">-MIN((Y153+Y161),Y155)</f>
        <v>#VALUE!</v>
      </c>
      <c r="Z158" s="164" t="e">
        <f aca="false">-MIN((Z153+Z161),Z155)</f>
        <v>#VALUE!</v>
      </c>
      <c r="AA158" s="164" t="e">
        <f aca="false">-MIN((AA153+AA161),AA155)</f>
        <v>#VALUE!</v>
      </c>
      <c r="AB158" s="164" t="e">
        <f aca="false">-MIN((AB153+AB161),AB155)</f>
        <v>#VALUE!</v>
      </c>
      <c r="AC158" s="164" t="e">
        <f aca="false">-MIN((AC153+AC161),AC155)</f>
        <v>#VALUE!</v>
      </c>
      <c r="AD158" s="164" t="e">
        <f aca="false">-MIN((AD153+AD161),AD155)</f>
        <v>#VALUE!</v>
      </c>
      <c r="AE158" s="164" t="e">
        <f aca="false">-MIN((AE153+AE161),AE155)</f>
        <v>#VALUE!</v>
      </c>
      <c r="AF158" s="164" t="e">
        <f aca="false">-MIN((AF153+AF161),AF155)</f>
        <v>#VALUE!</v>
      </c>
      <c r="AG158" s="164" t="e">
        <f aca="false">-MIN((AG153+AG161),AG155)</f>
        <v>#VALUE!</v>
      </c>
      <c r="AH158" s="164" t="e">
        <f aca="false">-MIN((AH153+AH161),AH155)</f>
        <v>#VALUE!</v>
      </c>
      <c r="AI158" s="164" t="e">
        <f aca="false">-MIN((AI153+AI161),AI155)</f>
        <v>#VALUE!</v>
      </c>
      <c r="AJ158" s="164" t="e">
        <f aca="false">-MIN((AJ153+AJ161),AJ155)</f>
        <v>#VALUE!</v>
      </c>
      <c r="AK158" s="164" t="e">
        <f aca="false">-MIN((AK153+AK161),AK155)</f>
        <v>#VALUE!</v>
      </c>
      <c r="AL158" s="164" t="e">
        <f aca="false">-MIN((AL153+AL161),AL155)</f>
        <v>#VALUE!</v>
      </c>
    </row>
    <row r="159" customFormat="false" ht="15" hidden="false" customHeight="false" outlineLevel="1" collapsed="false">
      <c r="A159" s="171"/>
      <c r="C159" s="166" t="s">
        <v>336</v>
      </c>
      <c r="D159" s="158"/>
      <c r="E159" s="118" t="s">
        <v>72</v>
      </c>
      <c r="F159" s="175"/>
      <c r="G159" s="177"/>
      <c r="H159" s="178"/>
      <c r="I159" s="167" t="e">
        <f aca="false">SUM(I155:I158)</f>
        <v>#VALUE!</v>
      </c>
      <c r="J159" s="167" t="e">
        <f aca="false">SUM(J155:J158)</f>
        <v>#VALUE!</v>
      </c>
      <c r="K159" s="167" t="e">
        <f aca="false">SUM(K155:K158)</f>
        <v>#VALUE!</v>
      </c>
      <c r="L159" s="167" t="e">
        <f aca="false">SUM(L155:L158)</f>
        <v>#VALUE!</v>
      </c>
      <c r="M159" s="167" t="e">
        <f aca="false">SUM(M155:M158)</f>
        <v>#VALUE!</v>
      </c>
      <c r="N159" s="167" t="e">
        <f aca="false">SUM(N155:N158)</f>
        <v>#VALUE!</v>
      </c>
      <c r="O159" s="167" t="e">
        <f aca="false">SUM(O155:O158)</f>
        <v>#VALUE!</v>
      </c>
      <c r="P159" s="167" t="e">
        <f aca="false">SUM(P155:P158)</f>
        <v>#VALUE!</v>
      </c>
      <c r="Q159" s="167" t="e">
        <f aca="false">SUM(Q155:Q158)</f>
        <v>#VALUE!</v>
      </c>
      <c r="R159" s="167" t="e">
        <f aca="false">SUM(R155:R158)</f>
        <v>#VALUE!</v>
      </c>
      <c r="S159" s="167" t="e">
        <f aca="false">SUM(S155:S158)</f>
        <v>#VALUE!</v>
      </c>
      <c r="T159" s="167" t="e">
        <f aca="false">SUM(T155:T158)</f>
        <v>#VALUE!</v>
      </c>
      <c r="U159" s="167" t="e">
        <f aca="false">SUM(U155:U158)</f>
        <v>#VALUE!</v>
      </c>
      <c r="V159" s="167" t="e">
        <f aca="false">SUM(V155:V158)</f>
        <v>#VALUE!</v>
      </c>
      <c r="W159" s="167" t="e">
        <f aca="false">SUM(W155:W158)</f>
        <v>#VALUE!</v>
      </c>
      <c r="X159" s="167" t="e">
        <f aca="false">SUM(X155:X158)</f>
        <v>#VALUE!</v>
      </c>
      <c r="Y159" s="167" t="e">
        <f aca="false">SUM(Y155:Y158)</f>
        <v>#VALUE!</v>
      </c>
      <c r="Z159" s="167" t="e">
        <f aca="false">SUM(Z155:Z158)</f>
        <v>#VALUE!</v>
      </c>
      <c r="AA159" s="167" t="e">
        <f aca="false">SUM(AA155:AA158)</f>
        <v>#VALUE!</v>
      </c>
      <c r="AB159" s="167" t="e">
        <f aca="false">SUM(AB155:AB158)</f>
        <v>#VALUE!</v>
      </c>
      <c r="AC159" s="167" t="e">
        <f aca="false">SUM(AC155:AC158)</f>
        <v>#VALUE!</v>
      </c>
      <c r="AD159" s="167" t="e">
        <f aca="false">SUM(AD155:AD158)</f>
        <v>#VALUE!</v>
      </c>
      <c r="AE159" s="167" t="e">
        <f aca="false">SUM(AE155:AE158)</f>
        <v>#VALUE!</v>
      </c>
      <c r="AF159" s="167" t="e">
        <f aca="false">SUM(AF155:AF158)</f>
        <v>#VALUE!</v>
      </c>
      <c r="AG159" s="167" t="e">
        <f aca="false">SUM(AG155:AG158)</f>
        <v>#VALUE!</v>
      </c>
      <c r="AH159" s="167" t="e">
        <f aca="false">SUM(AH155:AH158)</f>
        <v>#VALUE!</v>
      </c>
      <c r="AI159" s="167" t="e">
        <f aca="false">SUM(AI155:AI158)</f>
        <v>#VALUE!</v>
      </c>
      <c r="AJ159" s="167" t="e">
        <f aca="false">SUM(AJ155:AJ158)</f>
        <v>#VALUE!</v>
      </c>
      <c r="AK159" s="167" t="e">
        <f aca="false">SUM(AK155:AK158)</f>
        <v>#VALUE!</v>
      </c>
      <c r="AL159" s="167" t="e">
        <f aca="false">SUM(AL155:AL158)</f>
        <v>#VALUE!</v>
      </c>
    </row>
    <row r="160" customFormat="false" ht="15" hidden="false" customHeight="false" outlineLevel="1" collapsed="false">
      <c r="A160" s="171"/>
      <c r="E160" s="172"/>
      <c r="G160" s="173"/>
      <c r="H160" s="17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row>
    <row r="161" customFormat="false" ht="15" hidden="false" customHeight="false" outlineLevel="1" collapsed="false">
      <c r="A161" s="171"/>
      <c r="C161" s="171" t="s">
        <v>348</v>
      </c>
      <c r="E161" s="172" t="s">
        <v>72</v>
      </c>
      <c r="G161" s="173"/>
      <c r="H161" s="174"/>
      <c r="I161" s="164" t="n">
        <f aca="false">-I$7*I155*Equity_Loan_Rate</f>
        <v>-0</v>
      </c>
      <c r="J161" s="164" t="e">
        <f aca="false">-J$7*J155*Equity_Loan_Rate</f>
        <v>#VALUE!</v>
      </c>
      <c r="K161" s="164" t="e">
        <f aca="false">-K$7*K155*Equity_Loan_Rate</f>
        <v>#VALUE!</v>
      </c>
      <c r="L161" s="164" t="e">
        <f aca="false">-L$7*L155*Equity_Loan_Rate</f>
        <v>#VALUE!</v>
      </c>
      <c r="M161" s="164" t="e">
        <f aca="false">-M$7*M155*Equity_Loan_Rate</f>
        <v>#VALUE!</v>
      </c>
      <c r="N161" s="164" t="e">
        <f aca="false">-N$7*N155*Equity_Loan_Rate</f>
        <v>#VALUE!</v>
      </c>
      <c r="O161" s="164" t="e">
        <f aca="false">-O$7*O155*Equity_Loan_Rate</f>
        <v>#VALUE!</v>
      </c>
      <c r="P161" s="164" t="e">
        <f aca="false">-P$7*P155*Equity_Loan_Rate</f>
        <v>#VALUE!</v>
      </c>
      <c r="Q161" s="164" t="e">
        <f aca="false">-Q$7*Q155*Equity_Loan_Rate</f>
        <v>#VALUE!</v>
      </c>
      <c r="R161" s="164" t="e">
        <f aca="false">-R$7*R155*Equity_Loan_Rate</f>
        <v>#VALUE!</v>
      </c>
      <c r="S161" s="164" t="e">
        <f aca="false">-S$7*S155*Equity_Loan_Rate</f>
        <v>#VALUE!</v>
      </c>
      <c r="T161" s="164" t="e">
        <f aca="false">-T$7*T155*Equity_Loan_Rate</f>
        <v>#VALUE!</v>
      </c>
      <c r="U161" s="164" t="e">
        <f aca="false">-U$7*U155*Equity_Loan_Rate</f>
        <v>#VALUE!</v>
      </c>
      <c r="V161" s="164" t="e">
        <f aca="false">-V$7*V155*Equity_Loan_Rate</f>
        <v>#VALUE!</v>
      </c>
      <c r="W161" s="164" t="e">
        <f aca="false">-W$7*W155*Equity_Loan_Rate</f>
        <v>#VALUE!</v>
      </c>
      <c r="X161" s="164" t="e">
        <f aca="false">-X$7*X155*Equity_Loan_Rate</f>
        <v>#VALUE!</v>
      </c>
      <c r="Y161" s="164" t="e">
        <f aca="false">-Y$7*Y155*Equity_Loan_Rate</f>
        <v>#VALUE!</v>
      </c>
      <c r="Z161" s="164" t="e">
        <f aca="false">-Z$7*Z155*Equity_Loan_Rate</f>
        <v>#VALUE!</v>
      </c>
      <c r="AA161" s="164" t="e">
        <f aca="false">-AA$7*AA155*Equity_Loan_Rate</f>
        <v>#VALUE!</v>
      </c>
      <c r="AB161" s="164" t="e">
        <f aca="false">-AB$7*AB155*Equity_Loan_Rate</f>
        <v>#VALUE!</v>
      </c>
      <c r="AC161" s="164" t="e">
        <f aca="false">-AC$7*AC155*Equity_Loan_Rate</f>
        <v>#VALUE!</v>
      </c>
      <c r="AD161" s="164" t="e">
        <f aca="false">-AD$7*AD155*Equity_Loan_Rate</f>
        <v>#VALUE!</v>
      </c>
      <c r="AE161" s="164" t="e">
        <f aca="false">-AE$7*AE155*Equity_Loan_Rate</f>
        <v>#VALUE!</v>
      </c>
      <c r="AF161" s="164" t="e">
        <f aca="false">-AF$7*AF155*Equity_Loan_Rate</f>
        <v>#VALUE!</v>
      </c>
      <c r="AG161" s="164" t="e">
        <f aca="false">-AG$7*AG155*Equity_Loan_Rate</f>
        <v>#VALUE!</v>
      </c>
      <c r="AH161" s="164" t="e">
        <f aca="false">-AH$7*AH155*Equity_Loan_Rate</f>
        <v>#VALUE!</v>
      </c>
      <c r="AI161" s="164" t="e">
        <f aca="false">-AI$7*AI155*Equity_Loan_Rate</f>
        <v>#VALUE!</v>
      </c>
      <c r="AJ161" s="164" t="e">
        <f aca="false">-AJ$7*AJ155*Equity_Loan_Rate</f>
        <v>#VALUE!</v>
      </c>
      <c r="AK161" s="164" t="e">
        <f aca="false">-AK$7*AK155*Equity_Loan_Rate</f>
        <v>#VALUE!</v>
      </c>
      <c r="AL161" s="164" t="e">
        <f aca="false">-AL$7*AL155*Equity_Loan_Rate</f>
        <v>#VALUE!</v>
      </c>
    </row>
    <row r="162" customFormat="false" ht="15" hidden="false" customHeight="false" outlineLevel="1" collapsed="false">
      <c r="A162" s="171"/>
      <c r="E162" s="172"/>
      <c r="G162" s="173"/>
      <c r="H162" s="17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row>
    <row r="163" s="30" customFormat="true" ht="16.9" hidden="false" customHeight="true" outlineLevel="0" collapsed="false">
      <c r="A163" s="30" t="n">
        <f aca="false">COUNT($A$6:A162)+1</f>
        <v>4</v>
      </c>
      <c r="C163" s="30" t="s">
        <v>362</v>
      </c>
      <c r="E163" s="31"/>
      <c r="H163" s="112"/>
    </row>
    <row r="164" s="171" customFormat="true" ht="15" hidden="false" customHeight="false" outlineLevel="0" collapsed="false">
      <c r="E164" s="172"/>
      <c r="G164" s="173"/>
      <c r="H164" s="17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row>
    <row r="165" s="157" customFormat="true" ht="14.65" hidden="false" customHeight="true" outlineLevel="0" collapsed="false">
      <c r="C165" s="157" t="s">
        <v>338</v>
      </c>
      <c r="E165" s="104" t="s">
        <v>72</v>
      </c>
      <c r="H165" s="161"/>
      <c r="I165" s="122" t="e">
        <f aca="false">IF(Bridge_Loan_Terms="amortization",I180,I196)</f>
        <v>#DIV/0!</v>
      </c>
      <c r="J165" s="122" t="e">
        <f aca="false">IF(Bridge_Loan_Terms="amortization",J180,J196)</f>
        <v>#DIV/0!</v>
      </c>
      <c r="K165" s="122" t="e">
        <f aca="false">IF(Bridge_Loan_Terms="amortization",K180,K196)</f>
        <v>#DIV/0!</v>
      </c>
      <c r="L165" s="122" t="e">
        <f aca="false">IF(Bridge_Loan_Terms="amortization",L180,L196)</f>
        <v>#DIV/0!</v>
      </c>
      <c r="M165" s="122" t="e">
        <f aca="false">IF(Bridge_Loan_Terms="amortization",M180,M196)</f>
        <v>#DIV/0!</v>
      </c>
      <c r="N165" s="122" t="e">
        <f aca="false">IF(Bridge_Loan_Terms="amortization",N180,N196)</f>
        <v>#DIV/0!</v>
      </c>
      <c r="O165" s="122" t="e">
        <f aca="false">IF(Bridge_Loan_Terms="amortization",O180,O196)</f>
        <v>#DIV/0!</v>
      </c>
      <c r="P165" s="122" t="e">
        <f aca="false">IF(Bridge_Loan_Terms="amortization",P180,P196)</f>
        <v>#DIV/0!</v>
      </c>
      <c r="Q165" s="122" t="e">
        <f aca="false">IF(Bridge_Loan_Terms="amortization",Q180,Q196)</f>
        <v>#DIV/0!</v>
      </c>
      <c r="R165" s="122" t="e">
        <f aca="false">IF(Bridge_Loan_Terms="amortization",R180,R196)</f>
        <v>#DIV/0!</v>
      </c>
      <c r="S165" s="122" t="e">
        <f aca="false">IF(Bridge_Loan_Terms="amortization",S180,S196)</f>
        <v>#DIV/0!</v>
      </c>
      <c r="T165" s="122" t="e">
        <f aca="false">IF(Bridge_Loan_Terms="amortization",T180,T196)</f>
        <v>#DIV/0!</v>
      </c>
      <c r="U165" s="122" t="e">
        <f aca="false">IF(Bridge_Loan_Terms="amortization",U180,U196)</f>
        <v>#DIV/0!</v>
      </c>
      <c r="V165" s="122" t="e">
        <f aca="false">IF(Bridge_Loan_Terms="amortization",V180,V196)</f>
        <v>#DIV/0!</v>
      </c>
      <c r="W165" s="122" t="e">
        <f aca="false">IF(Bridge_Loan_Terms="amortization",W180,W196)</f>
        <v>#DIV/0!</v>
      </c>
      <c r="X165" s="122" t="e">
        <f aca="false">IF(Bridge_Loan_Terms="amortization",X180,X196)</f>
        <v>#DIV/0!</v>
      </c>
      <c r="Y165" s="122" t="e">
        <f aca="false">IF(Bridge_Loan_Terms="amortization",Y180,Y196)</f>
        <v>#DIV/0!</v>
      </c>
      <c r="Z165" s="122" t="e">
        <f aca="false">IF(Bridge_Loan_Terms="amortization",Z180,Z196)</f>
        <v>#DIV/0!</v>
      </c>
      <c r="AA165" s="122" t="e">
        <f aca="false">IF(Bridge_Loan_Terms="amortization",AA180,AA196)</f>
        <v>#DIV/0!</v>
      </c>
      <c r="AB165" s="122" t="e">
        <f aca="false">IF(Bridge_Loan_Terms="amortization",AB180,AB196)</f>
        <v>#DIV/0!</v>
      </c>
      <c r="AC165" s="122" t="e">
        <f aca="false">IF(Bridge_Loan_Terms="amortization",AC180,AC196)</f>
        <v>#DIV/0!</v>
      </c>
      <c r="AD165" s="122" t="e">
        <f aca="false">IF(Bridge_Loan_Terms="amortization",AD180,AD196)</f>
        <v>#DIV/0!</v>
      </c>
      <c r="AE165" s="122" t="e">
        <f aca="false">IF(Bridge_Loan_Terms="amortization",AE180,AE196)</f>
        <v>#DIV/0!</v>
      </c>
      <c r="AF165" s="122" t="e">
        <f aca="false">IF(Bridge_Loan_Terms="amortization",AF180,AF196)</f>
        <v>#DIV/0!</v>
      </c>
      <c r="AG165" s="122" t="e">
        <f aca="false">IF(Bridge_Loan_Terms="amortization",AG180,AG196)</f>
        <v>#DIV/0!</v>
      </c>
      <c r="AH165" s="122" t="e">
        <f aca="false">IF(Bridge_Loan_Terms="amortization",AH180,AH196)</f>
        <v>#DIV/0!</v>
      </c>
      <c r="AI165" s="122" t="e">
        <f aca="false">IF(Bridge_Loan_Terms="amortization",AI180,AI196)</f>
        <v>#DIV/0!</v>
      </c>
      <c r="AJ165" s="122" t="e">
        <f aca="false">IF(Bridge_Loan_Terms="amortization",AJ180,AJ196)</f>
        <v>#DIV/0!</v>
      </c>
      <c r="AK165" s="122" t="e">
        <f aca="false">IF(Bridge_Loan_Terms="amortization",AK180,AK196)</f>
        <v>#DIV/0!</v>
      </c>
      <c r="AL165" s="122" t="e">
        <f aca="false">IF(Bridge_Loan_Terms="amortization",AL180,AL196)</f>
        <v>#DIV/0!</v>
      </c>
    </row>
    <row r="166" customFormat="false" ht="14.65" hidden="false" customHeight="true" outlineLevel="0" collapsed="false">
      <c r="A166" s="157"/>
      <c r="B166" s="157"/>
      <c r="C166" s="157" t="s">
        <v>339</v>
      </c>
      <c r="D166" s="157"/>
      <c r="E166" s="104" t="s">
        <v>72</v>
      </c>
      <c r="F166" s="157"/>
      <c r="G166" s="162" t="e">
        <f aca="false">SUM(I166:AL166)</f>
        <v>#DIV/0!</v>
      </c>
      <c r="H166" s="161"/>
      <c r="I166" s="122" t="e">
        <f aca="false">IF(Bridge_Loan_Terms="amortization",I183,I199)</f>
        <v>#DIV/0!</v>
      </c>
      <c r="J166" s="122" t="e">
        <f aca="false">IF(Bridge_Loan_Terms="amortization",J183,J199)</f>
        <v>#VALUE!</v>
      </c>
      <c r="K166" s="122" t="e">
        <f aca="false">IF(Bridge_Loan_Terms="amortization",K183,K199)</f>
        <v>#VALUE!</v>
      </c>
      <c r="L166" s="122" t="e">
        <f aca="false">IF(Bridge_Loan_Terms="amortization",L183,L199)</f>
        <v>#VALUE!</v>
      </c>
      <c r="M166" s="122" t="e">
        <f aca="false">IF(Bridge_Loan_Terms="amortization",M183,M199)</f>
        <v>#VALUE!</v>
      </c>
      <c r="N166" s="122" t="e">
        <f aca="false">IF(Bridge_Loan_Terms="amortization",N183,N199)</f>
        <v>#VALUE!</v>
      </c>
      <c r="O166" s="122" t="e">
        <f aca="false">IF(Bridge_Loan_Terms="amortization",O183,O199)</f>
        <v>#VALUE!</v>
      </c>
      <c r="P166" s="122" t="e">
        <f aca="false">IF(Bridge_Loan_Terms="amortization",P183,P199)</f>
        <v>#VALUE!</v>
      </c>
      <c r="Q166" s="122" t="e">
        <f aca="false">IF(Bridge_Loan_Terms="amortization",Q183,Q199)</f>
        <v>#VALUE!</v>
      </c>
      <c r="R166" s="122" t="e">
        <f aca="false">IF(Bridge_Loan_Terms="amortization",R183,R199)</f>
        <v>#VALUE!</v>
      </c>
      <c r="S166" s="122" t="e">
        <f aca="false">IF(Bridge_Loan_Terms="amortization",S183,S199)</f>
        <v>#VALUE!</v>
      </c>
      <c r="T166" s="122" t="e">
        <f aca="false">IF(Bridge_Loan_Terms="amortization",T183,T199)</f>
        <v>#VALUE!</v>
      </c>
      <c r="U166" s="122" t="e">
        <f aca="false">IF(Bridge_Loan_Terms="amortization",U183,U199)</f>
        <v>#VALUE!</v>
      </c>
      <c r="V166" s="122" t="e">
        <f aca="false">IF(Bridge_Loan_Terms="amortization",V183,V199)</f>
        <v>#VALUE!</v>
      </c>
      <c r="W166" s="122" t="e">
        <f aca="false">IF(Bridge_Loan_Terms="amortization",W183,W199)</f>
        <v>#VALUE!</v>
      </c>
      <c r="X166" s="122" t="e">
        <f aca="false">IF(Bridge_Loan_Terms="amortization",X183,X199)</f>
        <v>#VALUE!</v>
      </c>
      <c r="Y166" s="122" t="e">
        <f aca="false">IF(Bridge_Loan_Terms="amortization",Y183,Y199)</f>
        <v>#VALUE!</v>
      </c>
      <c r="Z166" s="122" t="e">
        <f aca="false">IF(Bridge_Loan_Terms="amortization",Z183,Z199)</f>
        <v>#VALUE!</v>
      </c>
      <c r="AA166" s="122" t="e">
        <f aca="false">IF(Bridge_Loan_Terms="amortization",AA183,AA199)</f>
        <v>#VALUE!</v>
      </c>
      <c r="AB166" s="122" t="e">
        <f aca="false">IF(Bridge_Loan_Terms="amortization",AB183,AB199)</f>
        <v>#VALUE!</v>
      </c>
      <c r="AC166" s="122" t="e">
        <f aca="false">IF(Bridge_Loan_Terms="amortization",AC183,AC199)</f>
        <v>#VALUE!</v>
      </c>
      <c r="AD166" s="122" t="e">
        <f aca="false">IF(Bridge_Loan_Terms="amortization",AD183,AD199)</f>
        <v>#VALUE!</v>
      </c>
      <c r="AE166" s="122" t="e">
        <f aca="false">IF(Bridge_Loan_Terms="amortization",AE183,AE199)</f>
        <v>#VALUE!</v>
      </c>
      <c r="AF166" s="122" t="e">
        <f aca="false">IF(Bridge_Loan_Terms="amortization",AF183,AF199)</f>
        <v>#VALUE!</v>
      </c>
      <c r="AG166" s="122" t="e">
        <f aca="false">IF(Bridge_Loan_Terms="amortization",AG183,AG199)</f>
        <v>#VALUE!</v>
      </c>
      <c r="AH166" s="122" t="e">
        <f aca="false">IF(Bridge_Loan_Terms="amortization",AH183,AH199)</f>
        <v>#VALUE!</v>
      </c>
      <c r="AI166" s="122" t="e">
        <f aca="false">IF(Bridge_Loan_Terms="amortization",AI183,AI199)</f>
        <v>#VALUE!</v>
      </c>
      <c r="AJ166" s="122" t="e">
        <f aca="false">IF(Bridge_Loan_Terms="amortization",AJ183,AJ199)</f>
        <v>#VALUE!</v>
      </c>
      <c r="AK166" s="122" t="e">
        <f aca="false">IF(Bridge_Loan_Terms="amortization",AK183,AK199)</f>
        <v>#VALUE!</v>
      </c>
      <c r="AL166" s="122" t="e">
        <f aca="false">IF(Bridge_Loan_Terms="amortization",AL183,AL199)</f>
        <v>#VALUE!</v>
      </c>
    </row>
    <row r="167" customFormat="false" ht="14.65" hidden="false" customHeight="true" outlineLevel="0" collapsed="false">
      <c r="A167" s="157"/>
      <c r="B167" s="157"/>
      <c r="C167" s="158" t="s">
        <v>363</v>
      </c>
      <c r="D167" s="158"/>
      <c r="E167" s="118" t="s">
        <v>72</v>
      </c>
      <c r="F167" s="158"/>
      <c r="G167" s="158"/>
      <c r="H167" s="163"/>
      <c r="I167" s="121" t="e">
        <f aca="false">SUM(I165:I166)</f>
        <v>#DIV/0!</v>
      </c>
      <c r="J167" s="121" t="e">
        <f aca="false">SUM(J165:J166)</f>
        <v>#DIV/0!</v>
      </c>
      <c r="K167" s="121" t="e">
        <f aca="false">SUM(K165:K166)</f>
        <v>#DIV/0!</v>
      </c>
      <c r="L167" s="121" t="e">
        <f aca="false">SUM(L165:L166)</f>
        <v>#DIV/0!</v>
      </c>
      <c r="M167" s="121" t="e">
        <f aca="false">SUM(M165:M166)</f>
        <v>#DIV/0!</v>
      </c>
      <c r="N167" s="121" t="e">
        <f aca="false">SUM(N165:N166)</f>
        <v>#DIV/0!</v>
      </c>
      <c r="O167" s="121" t="e">
        <f aca="false">SUM(O165:O166)</f>
        <v>#DIV/0!</v>
      </c>
      <c r="P167" s="121" t="e">
        <f aca="false">SUM(P165:P166)</f>
        <v>#DIV/0!</v>
      </c>
      <c r="Q167" s="121" t="e">
        <f aca="false">SUM(Q165:Q166)</f>
        <v>#DIV/0!</v>
      </c>
      <c r="R167" s="121" t="e">
        <f aca="false">SUM(R165:R166)</f>
        <v>#DIV/0!</v>
      </c>
      <c r="S167" s="121" t="e">
        <f aca="false">SUM(S165:S166)</f>
        <v>#DIV/0!</v>
      </c>
      <c r="T167" s="121" t="e">
        <f aca="false">SUM(T165:T166)</f>
        <v>#DIV/0!</v>
      </c>
      <c r="U167" s="121" t="e">
        <f aca="false">SUM(U165:U166)</f>
        <v>#DIV/0!</v>
      </c>
      <c r="V167" s="121" t="e">
        <f aca="false">SUM(V165:V166)</f>
        <v>#DIV/0!</v>
      </c>
      <c r="W167" s="121" t="e">
        <f aca="false">SUM(W165:W166)</f>
        <v>#DIV/0!</v>
      </c>
      <c r="X167" s="121" t="e">
        <f aca="false">SUM(X165:X166)</f>
        <v>#DIV/0!</v>
      </c>
      <c r="Y167" s="121" t="e">
        <f aca="false">SUM(Y165:Y166)</f>
        <v>#DIV/0!</v>
      </c>
      <c r="Z167" s="121" t="e">
        <f aca="false">SUM(Z165:Z166)</f>
        <v>#DIV/0!</v>
      </c>
      <c r="AA167" s="121" t="e">
        <f aca="false">SUM(AA165:AA166)</f>
        <v>#DIV/0!</v>
      </c>
      <c r="AB167" s="121" t="e">
        <f aca="false">SUM(AB165:AB166)</f>
        <v>#DIV/0!</v>
      </c>
      <c r="AC167" s="121" t="e">
        <f aca="false">SUM(AC165:AC166)</f>
        <v>#DIV/0!</v>
      </c>
      <c r="AD167" s="121" t="e">
        <f aca="false">SUM(AD165:AD166)</f>
        <v>#DIV/0!</v>
      </c>
      <c r="AE167" s="121" t="e">
        <f aca="false">SUM(AE165:AE166)</f>
        <v>#DIV/0!</v>
      </c>
      <c r="AF167" s="121" t="e">
        <f aca="false">SUM(AF165:AF166)</f>
        <v>#DIV/0!</v>
      </c>
      <c r="AG167" s="121" t="e">
        <f aca="false">SUM(AG165:AG166)</f>
        <v>#DIV/0!</v>
      </c>
      <c r="AH167" s="121" t="e">
        <f aca="false">SUM(AH165:AH166)</f>
        <v>#DIV/0!</v>
      </c>
      <c r="AI167" s="121" t="e">
        <f aca="false">SUM(AI165:AI166)</f>
        <v>#DIV/0!</v>
      </c>
      <c r="AJ167" s="121" t="e">
        <f aca="false">SUM(AJ165:AJ166)</f>
        <v>#DIV/0!</v>
      </c>
      <c r="AK167" s="121" t="e">
        <f aca="false">SUM(AK165:AK166)</f>
        <v>#DIV/0!</v>
      </c>
      <c r="AL167" s="121" t="e">
        <f aca="false">SUM(AL165:AL166)</f>
        <v>#DIV/0!</v>
      </c>
    </row>
    <row r="168" customFormat="false" ht="14.65" hidden="false" customHeight="true" outlineLevel="0" collapsed="false">
      <c r="A168" s="157"/>
      <c r="B168" s="157"/>
      <c r="E168" s="159"/>
      <c r="H168" s="161"/>
    </row>
    <row r="169" customFormat="false" ht="14.65" hidden="false" customHeight="true" outlineLevel="0" collapsed="false">
      <c r="A169" s="157"/>
      <c r="B169" s="157"/>
      <c r="C169" s="157" t="s">
        <v>356</v>
      </c>
      <c r="E169" s="159" t="str">
        <f aca="false">Bridge_Loan_Terms</f>
        <v>ASAP</v>
      </c>
      <c r="H169" s="161"/>
    </row>
    <row r="170" customFormat="false" ht="14.65" hidden="false" customHeight="true" outlineLevel="0" collapsed="false">
      <c r="A170" s="157"/>
      <c r="B170" s="157"/>
      <c r="C170" s="0" t="s">
        <v>327</v>
      </c>
      <c r="E170" s="104" t="s">
        <v>72</v>
      </c>
      <c r="H170" s="161"/>
      <c r="I170" s="122" t="n">
        <f aca="false">IF(Bridge_Loan_Terms="amortization",I177,I193)</f>
        <v>0</v>
      </c>
      <c r="J170" s="122" t="e">
        <f aca="false">IF(Bridge_Loan_Terms="amortization",J177,J193)</f>
        <v>#VALUE!</v>
      </c>
      <c r="K170" s="122" t="e">
        <f aca="false">IF(Bridge_Loan_Terms="amortization",K177,K193)</f>
        <v>#VALUE!</v>
      </c>
      <c r="L170" s="122" t="e">
        <f aca="false">IF(Bridge_Loan_Terms="amortization",L177,L193)</f>
        <v>#VALUE!</v>
      </c>
      <c r="M170" s="122" t="e">
        <f aca="false">IF(Bridge_Loan_Terms="amortization",M177,M193)</f>
        <v>#VALUE!</v>
      </c>
      <c r="N170" s="122" t="e">
        <f aca="false">IF(Bridge_Loan_Terms="amortization",N177,N193)</f>
        <v>#VALUE!</v>
      </c>
      <c r="O170" s="122" t="e">
        <f aca="false">IF(Bridge_Loan_Terms="amortization",O177,O193)</f>
        <v>#VALUE!</v>
      </c>
      <c r="P170" s="122" t="e">
        <f aca="false">IF(Bridge_Loan_Terms="amortization",P177,P193)</f>
        <v>#VALUE!</v>
      </c>
      <c r="Q170" s="122" t="e">
        <f aca="false">IF(Bridge_Loan_Terms="amortization",Q177,Q193)</f>
        <v>#VALUE!</v>
      </c>
      <c r="R170" s="122" t="e">
        <f aca="false">IF(Bridge_Loan_Terms="amortization",R177,R193)</f>
        <v>#VALUE!</v>
      </c>
      <c r="S170" s="122" t="e">
        <f aca="false">IF(Bridge_Loan_Terms="amortization",S177,S193)</f>
        <v>#VALUE!</v>
      </c>
      <c r="T170" s="122" t="e">
        <f aca="false">IF(Bridge_Loan_Terms="amortization",T177,T193)</f>
        <v>#VALUE!</v>
      </c>
      <c r="U170" s="122" t="e">
        <f aca="false">IF(Bridge_Loan_Terms="amortization",U177,U193)</f>
        <v>#VALUE!</v>
      </c>
      <c r="V170" s="122" t="e">
        <f aca="false">IF(Bridge_Loan_Terms="amortization",V177,V193)</f>
        <v>#VALUE!</v>
      </c>
      <c r="W170" s="122" t="e">
        <f aca="false">IF(Bridge_Loan_Terms="amortization",W177,W193)</f>
        <v>#VALUE!</v>
      </c>
      <c r="X170" s="122" t="e">
        <f aca="false">IF(Bridge_Loan_Terms="amortization",X177,X193)</f>
        <v>#VALUE!</v>
      </c>
      <c r="Y170" s="122" t="e">
        <f aca="false">IF(Bridge_Loan_Terms="amortization",Y177,Y193)</f>
        <v>#VALUE!</v>
      </c>
      <c r="Z170" s="122" t="e">
        <f aca="false">IF(Bridge_Loan_Terms="amortization",Z177,Z193)</f>
        <v>#VALUE!</v>
      </c>
      <c r="AA170" s="122" t="e">
        <f aca="false">IF(Bridge_Loan_Terms="amortization",AA177,AA193)</f>
        <v>#VALUE!</v>
      </c>
      <c r="AB170" s="122" t="e">
        <f aca="false">IF(Bridge_Loan_Terms="amortization",AB177,AB193)</f>
        <v>#VALUE!</v>
      </c>
      <c r="AC170" s="122" t="e">
        <f aca="false">IF(Bridge_Loan_Terms="amortization",AC177,AC193)</f>
        <v>#VALUE!</v>
      </c>
      <c r="AD170" s="122" t="e">
        <f aca="false">IF(Bridge_Loan_Terms="amortization",AD177,AD193)</f>
        <v>#VALUE!</v>
      </c>
      <c r="AE170" s="122" t="e">
        <f aca="false">IF(Bridge_Loan_Terms="amortization",AE177,AE193)</f>
        <v>#VALUE!</v>
      </c>
      <c r="AF170" s="122" t="e">
        <f aca="false">IF(Bridge_Loan_Terms="amortization",AF177,AF193)</f>
        <v>#VALUE!</v>
      </c>
      <c r="AG170" s="122" t="e">
        <f aca="false">IF(Bridge_Loan_Terms="amortization",AG177,AG193)</f>
        <v>#VALUE!</v>
      </c>
      <c r="AH170" s="122" t="e">
        <f aca="false">IF(Bridge_Loan_Terms="amortization",AH177,AH193)</f>
        <v>#VALUE!</v>
      </c>
      <c r="AI170" s="122" t="e">
        <f aca="false">IF(Bridge_Loan_Terms="amortization",AI177,AI193)</f>
        <v>#VALUE!</v>
      </c>
      <c r="AJ170" s="122" t="e">
        <f aca="false">IF(Bridge_Loan_Terms="amortization",AJ177,AJ193)</f>
        <v>#VALUE!</v>
      </c>
      <c r="AK170" s="122" t="e">
        <f aca="false">IF(Bridge_Loan_Terms="amortization",AK177,AK193)</f>
        <v>#VALUE!</v>
      </c>
      <c r="AL170" s="122" t="e">
        <f aca="false">IF(Bridge_Loan_Terms="amortization",AL177,AL193)</f>
        <v>#VALUE!</v>
      </c>
    </row>
    <row r="171" customFormat="false" ht="14.65" hidden="false" customHeight="true" outlineLevel="0" collapsed="false">
      <c r="A171" s="157"/>
      <c r="B171" s="157"/>
      <c r="C171" s="165" t="s">
        <v>364</v>
      </c>
      <c r="E171" s="104" t="s">
        <v>72</v>
      </c>
      <c r="H171" s="161"/>
      <c r="I171" s="122" t="e">
        <f aca="false">IF(Bridge_Loan_Terms="amortization",I178,I194)</f>
        <v>#VALUE!</v>
      </c>
      <c r="J171" s="122" t="e">
        <f aca="false">IF(Bridge_Loan_Terms="amortization",J178,J194)</f>
        <v>#VALUE!</v>
      </c>
      <c r="K171" s="122" t="e">
        <f aca="false">IF(Bridge_Loan_Terms="amortization",K178,K194)</f>
        <v>#VALUE!</v>
      </c>
      <c r="L171" s="122" t="e">
        <f aca="false">IF(Bridge_Loan_Terms="amortization",L178,L194)</f>
        <v>#VALUE!</v>
      </c>
      <c r="M171" s="122" t="e">
        <f aca="false">IF(Bridge_Loan_Terms="amortization",M178,M194)</f>
        <v>#VALUE!</v>
      </c>
      <c r="N171" s="122" t="e">
        <f aca="false">IF(Bridge_Loan_Terms="amortization",N178,N194)</f>
        <v>#VALUE!</v>
      </c>
      <c r="O171" s="122" t="e">
        <f aca="false">IF(Bridge_Loan_Terms="amortization",O178,O194)</f>
        <v>#VALUE!</v>
      </c>
      <c r="P171" s="122" t="e">
        <f aca="false">IF(Bridge_Loan_Terms="amortization",P178,P194)</f>
        <v>#VALUE!</v>
      </c>
      <c r="Q171" s="122" t="e">
        <f aca="false">IF(Bridge_Loan_Terms="amortization",Q178,Q194)</f>
        <v>#VALUE!</v>
      </c>
      <c r="R171" s="122" t="e">
        <f aca="false">IF(Bridge_Loan_Terms="amortization",R178,R194)</f>
        <v>#VALUE!</v>
      </c>
      <c r="S171" s="122" t="e">
        <f aca="false">IF(Bridge_Loan_Terms="amortization",S178,S194)</f>
        <v>#VALUE!</v>
      </c>
      <c r="T171" s="122" t="e">
        <f aca="false">IF(Bridge_Loan_Terms="amortization",T178,T194)</f>
        <v>#VALUE!</v>
      </c>
      <c r="U171" s="122" t="e">
        <f aca="false">IF(Bridge_Loan_Terms="amortization",U178,U194)</f>
        <v>#VALUE!</v>
      </c>
      <c r="V171" s="122" t="e">
        <f aca="false">IF(Bridge_Loan_Terms="amortization",V178,V194)</f>
        <v>#VALUE!</v>
      </c>
      <c r="W171" s="122" t="e">
        <f aca="false">IF(Bridge_Loan_Terms="amortization",W178,W194)</f>
        <v>#VALUE!</v>
      </c>
      <c r="X171" s="122" t="e">
        <f aca="false">IF(Bridge_Loan_Terms="amortization",X178,X194)</f>
        <v>#VALUE!</v>
      </c>
      <c r="Y171" s="122" t="e">
        <f aca="false">IF(Bridge_Loan_Terms="amortization",Y178,Y194)</f>
        <v>#VALUE!</v>
      </c>
      <c r="Z171" s="122" t="e">
        <f aca="false">IF(Bridge_Loan_Terms="amortization",Z178,Z194)</f>
        <v>#VALUE!</v>
      </c>
      <c r="AA171" s="122" t="e">
        <f aca="false">IF(Bridge_Loan_Terms="amortization",AA178,AA194)</f>
        <v>#VALUE!</v>
      </c>
      <c r="AB171" s="122" t="e">
        <f aca="false">IF(Bridge_Loan_Terms="amortization",AB178,AB194)</f>
        <v>#VALUE!</v>
      </c>
      <c r="AC171" s="122" t="e">
        <f aca="false">IF(Bridge_Loan_Terms="amortization",AC178,AC194)</f>
        <v>#VALUE!</v>
      </c>
      <c r="AD171" s="122" t="e">
        <f aca="false">IF(Bridge_Loan_Terms="amortization",AD178,AD194)</f>
        <v>#VALUE!</v>
      </c>
      <c r="AE171" s="122" t="e">
        <f aca="false">IF(Bridge_Loan_Terms="amortization",AE178,AE194)</f>
        <v>#VALUE!</v>
      </c>
      <c r="AF171" s="122" t="e">
        <f aca="false">IF(Bridge_Loan_Terms="amortization",AF178,AF194)</f>
        <v>#VALUE!</v>
      </c>
      <c r="AG171" s="122" t="e">
        <f aca="false">IF(Bridge_Loan_Terms="amortization",AG178,AG194)</f>
        <v>#VALUE!</v>
      </c>
      <c r="AH171" s="122" t="e">
        <f aca="false">IF(Bridge_Loan_Terms="amortization",AH178,AH194)</f>
        <v>#VALUE!</v>
      </c>
      <c r="AI171" s="122" t="e">
        <f aca="false">IF(Bridge_Loan_Terms="amortization",AI178,AI194)</f>
        <v>#VALUE!</v>
      </c>
      <c r="AJ171" s="122" t="e">
        <f aca="false">IF(Bridge_Loan_Terms="amortization",AJ178,AJ194)</f>
        <v>#VALUE!</v>
      </c>
      <c r="AK171" s="122" t="e">
        <f aca="false">IF(Bridge_Loan_Terms="amortization",AK178,AK194)</f>
        <v>#VALUE!</v>
      </c>
      <c r="AL171" s="122" t="e">
        <f aca="false">IF(Bridge_Loan_Terms="amortization",AL178,AL194)</f>
        <v>#VALUE!</v>
      </c>
    </row>
    <row r="172" customFormat="false" ht="14.65" hidden="false" customHeight="true" outlineLevel="0" collapsed="false">
      <c r="A172" s="157"/>
      <c r="B172" s="157"/>
      <c r="C172" s="165" t="s">
        <v>335</v>
      </c>
      <c r="E172" s="104" t="s">
        <v>72</v>
      </c>
      <c r="H172" s="161"/>
      <c r="I172" s="122" t="e">
        <f aca="false">IF(Bridge_Loan_Terms="amortization",I179,I195)</f>
        <v>#VALUE!</v>
      </c>
      <c r="J172" s="122" t="e">
        <f aca="false">IF(Bridge_Loan_Terms="amortization",J179,J195)</f>
        <v>#VALUE!</v>
      </c>
      <c r="K172" s="122" t="e">
        <f aca="false">IF(Bridge_Loan_Terms="amortization",K179,K195)</f>
        <v>#VALUE!</v>
      </c>
      <c r="L172" s="122" t="e">
        <f aca="false">IF(Bridge_Loan_Terms="amortization",L179,L195)</f>
        <v>#VALUE!</v>
      </c>
      <c r="M172" s="122" t="e">
        <f aca="false">IF(Bridge_Loan_Terms="amortization",M179,M195)</f>
        <v>#VALUE!</v>
      </c>
      <c r="N172" s="122" t="e">
        <f aca="false">IF(Bridge_Loan_Terms="amortization",N179,N195)</f>
        <v>#VALUE!</v>
      </c>
      <c r="O172" s="122" t="e">
        <f aca="false">IF(Bridge_Loan_Terms="amortization",O179,O195)</f>
        <v>#VALUE!</v>
      </c>
      <c r="P172" s="122" t="e">
        <f aca="false">IF(Bridge_Loan_Terms="amortization",P179,P195)</f>
        <v>#VALUE!</v>
      </c>
      <c r="Q172" s="122" t="e">
        <f aca="false">IF(Bridge_Loan_Terms="amortization",Q179,Q195)</f>
        <v>#VALUE!</v>
      </c>
      <c r="R172" s="122" t="e">
        <f aca="false">IF(Bridge_Loan_Terms="amortization",R179,R195)</f>
        <v>#VALUE!</v>
      </c>
      <c r="S172" s="122" t="e">
        <f aca="false">IF(Bridge_Loan_Terms="amortization",S179,S195)</f>
        <v>#VALUE!</v>
      </c>
      <c r="T172" s="122" t="e">
        <f aca="false">IF(Bridge_Loan_Terms="amortization",T179,T195)</f>
        <v>#VALUE!</v>
      </c>
      <c r="U172" s="122" t="e">
        <f aca="false">IF(Bridge_Loan_Terms="amortization",U179,U195)</f>
        <v>#VALUE!</v>
      </c>
      <c r="V172" s="122" t="e">
        <f aca="false">IF(Bridge_Loan_Terms="amortization",V179,V195)</f>
        <v>#VALUE!</v>
      </c>
      <c r="W172" s="122" t="e">
        <f aca="false">IF(Bridge_Loan_Terms="amortization",W179,W195)</f>
        <v>#VALUE!</v>
      </c>
      <c r="X172" s="122" t="e">
        <f aca="false">IF(Bridge_Loan_Terms="amortization",X179,X195)</f>
        <v>#VALUE!</v>
      </c>
      <c r="Y172" s="122" t="e">
        <f aca="false">IF(Bridge_Loan_Terms="amortization",Y179,Y195)</f>
        <v>#VALUE!</v>
      </c>
      <c r="Z172" s="122" t="e">
        <f aca="false">IF(Bridge_Loan_Terms="amortization",Z179,Z195)</f>
        <v>#VALUE!</v>
      </c>
      <c r="AA172" s="122" t="e">
        <f aca="false">IF(Bridge_Loan_Terms="amortization",AA179,AA195)</f>
        <v>#VALUE!</v>
      </c>
      <c r="AB172" s="122" t="e">
        <f aca="false">IF(Bridge_Loan_Terms="amortization",AB179,AB195)</f>
        <v>#VALUE!</v>
      </c>
      <c r="AC172" s="122" t="e">
        <f aca="false">IF(Bridge_Loan_Terms="amortization",AC179,AC195)</f>
        <v>#VALUE!</v>
      </c>
      <c r="AD172" s="122" t="e">
        <f aca="false">IF(Bridge_Loan_Terms="amortization",AD179,AD195)</f>
        <v>#VALUE!</v>
      </c>
      <c r="AE172" s="122" t="e">
        <f aca="false">IF(Bridge_Loan_Terms="amortization",AE179,AE195)</f>
        <v>#VALUE!</v>
      </c>
      <c r="AF172" s="122" t="e">
        <f aca="false">IF(Bridge_Loan_Terms="amortization",AF179,AF195)</f>
        <v>#VALUE!</v>
      </c>
      <c r="AG172" s="122" t="e">
        <f aca="false">IF(Bridge_Loan_Terms="amortization",AG179,AG195)</f>
        <v>#VALUE!</v>
      </c>
      <c r="AH172" s="122" t="e">
        <f aca="false">IF(Bridge_Loan_Terms="amortization",AH179,AH195)</f>
        <v>#VALUE!</v>
      </c>
      <c r="AI172" s="122" t="e">
        <f aca="false">IF(Bridge_Loan_Terms="amortization",AI179,AI195)</f>
        <v>#VALUE!</v>
      </c>
      <c r="AJ172" s="122" t="e">
        <f aca="false">IF(Bridge_Loan_Terms="amortization",AJ179,AJ195)</f>
        <v>#VALUE!</v>
      </c>
      <c r="AK172" s="122" t="e">
        <f aca="false">IF(Bridge_Loan_Terms="amortization",AK179,AK195)</f>
        <v>#VALUE!</v>
      </c>
      <c r="AL172" s="122" t="e">
        <f aca="false">IF(Bridge_Loan_Terms="amortization",AL179,AL195)</f>
        <v>#VALUE!</v>
      </c>
    </row>
    <row r="173" customFormat="false" ht="14.65" hidden="false" customHeight="true" outlineLevel="0" collapsed="false">
      <c r="A173" s="157"/>
      <c r="B173" s="157"/>
      <c r="C173" s="165" t="s">
        <v>365</v>
      </c>
      <c r="E173" s="104" t="s">
        <v>72</v>
      </c>
      <c r="H173" s="161"/>
      <c r="I173" s="122" t="e">
        <f aca="false">IF(Bridge_Loan_Terms="amortization",I180,I196)</f>
        <v>#DIV/0!</v>
      </c>
      <c r="J173" s="122" t="e">
        <f aca="false">IF(Bridge_Loan_Terms="amortization",J180,J196)</f>
        <v>#DIV/0!</v>
      </c>
      <c r="K173" s="122" t="e">
        <f aca="false">IF(Bridge_Loan_Terms="amortization",K180,K196)</f>
        <v>#DIV/0!</v>
      </c>
      <c r="L173" s="122" t="e">
        <f aca="false">IF(Bridge_Loan_Terms="amortization",L180,L196)</f>
        <v>#DIV/0!</v>
      </c>
      <c r="M173" s="122" t="e">
        <f aca="false">IF(Bridge_Loan_Terms="amortization",M180,M196)</f>
        <v>#DIV/0!</v>
      </c>
      <c r="N173" s="122" t="e">
        <f aca="false">IF(Bridge_Loan_Terms="amortization",N180,N196)</f>
        <v>#DIV/0!</v>
      </c>
      <c r="O173" s="122" t="e">
        <f aca="false">IF(Bridge_Loan_Terms="amortization",O180,O196)</f>
        <v>#DIV/0!</v>
      </c>
      <c r="P173" s="122" t="e">
        <f aca="false">IF(Bridge_Loan_Terms="amortization",P180,P196)</f>
        <v>#DIV/0!</v>
      </c>
      <c r="Q173" s="122" t="e">
        <f aca="false">IF(Bridge_Loan_Terms="amortization",Q180,Q196)</f>
        <v>#DIV/0!</v>
      </c>
      <c r="R173" s="122" t="e">
        <f aca="false">IF(Bridge_Loan_Terms="amortization",R180,R196)</f>
        <v>#DIV/0!</v>
      </c>
      <c r="S173" s="122" t="e">
        <f aca="false">IF(Bridge_Loan_Terms="amortization",S180,S196)</f>
        <v>#DIV/0!</v>
      </c>
      <c r="T173" s="122" t="e">
        <f aca="false">IF(Bridge_Loan_Terms="amortization",T180,T196)</f>
        <v>#DIV/0!</v>
      </c>
      <c r="U173" s="122" t="e">
        <f aca="false">IF(Bridge_Loan_Terms="amortization",U180,U196)</f>
        <v>#DIV/0!</v>
      </c>
      <c r="V173" s="122" t="e">
        <f aca="false">IF(Bridge_Loan_Terms="amortization",V180,V196)</f>
        <v>#DIV/0!</v>
      </c>
      <c r="W173" s="122" t="e">
        <f aca="false">IF(Bridge_Loan_Terms="amortization",W180,W196)</f>
        <v>#DIV/0!</v>
      </c>
      <c r="X173" s="122" t="e">
        <f aca="false">IF(Bridge_Loan_Terms="amortization",X180,X196)</f>
        <v>#DIV/0!</v>
      </c>
      <c r="Y173" s="122" t="e">
        <f aca="false">IF(Bridge_Loan_Terms="amortization",Y180,Y196)</f>
        <v>#DIV/0!</v>
      </c>
      <c r="Z173" s="122" t="e">
        <f aca="false">IF(Bridge_Loan_Terms="amortization",Z180,Z196)</f>
        <v>#DIV/0!</v>
      </c>
      <c r="AA173" s="122" t="e">
        <f aca="false">IF(Bridge_Loan_Terms="amortization",AA180,AA196)</f>
        <v>#DIV/0!</v>
      </c>
      <c r="AB173" s="122" t="e">
        <f aca="false">IF(Bridge_Loan_Terms="amortization",AB180,AB196)</f>
        <v>#DIV/0!</v>
      </c>
      <c r="AC173" s="122" t="e">
        <f aca="false">IF(Bridge_Loan_Terms="amortization",AC180,AC196)</f>
        <v>#DIV/0!</v>
      </c>
      <c r="AD173" s="122" t="e">
        <f aca="false">IF(Bridge_Loan_Terms="amortization",AD180,AD196)</f>
        <v>#DIV/0!</v>
      </c>
      <c r="AE173" s="122" t="e">
        <f aca="false">IF(Bridge_Loan_Terms="amortization",AE180,AE196)</f>
        <v>#DIV/0!</v>
      </c>
      <c r="AF173" s="122" t="e">
        <f aca="false">IF(Bridge_Loan_Terms="amortization",AF180,AF196)</f>
        <v>#DIV/0!</v>
      </c>
      <c r="AG173" s="122" t="e">
        <f aca="false">IF(Bridge_Loan_Terms="amortization",AG180,AG196)</f>
        <v>#DIV/0!</v>
      </c>
      <c r="AH173" s="122" t="e">
        <f aca="false">IF(Bridge_Loan_Terms="amortization",AH180,AH196)</f>
        <v>#DIV/0!</v>
      </c>
      <c r="AI173" s="122" t="e">
        <f aca="false">IF(Bridge_Loan_Terms="amortization",AI180,AI196)</f>
        <v>#DIV/0!</v>
      </c>
      <c r="AJ173" s="122" t="e">
        <f aca="false">IF(Bridge_Loan_Terms="amortization",AJ180,AJ196)</f>
        <v>#DIV/0!</v>
      </c>
      <c r="AK173" s="122" t="e">
        <f aca="false">IF(Bridge_Loan_Terms="amortization",AK180,AK196)</f>
        <v>#DIV/0!</v>
      </c>
      <c r="AL173" s="122" t="e">
        <f aca="false">IF(Bridge_Loan_Terms="amortization",AL180,AL196)</f>
        <v>#DIV/0!</v>
      </c>
    </row>
    <row r="174" customFormat="false" ht="14.65" hidden="false" customHeight="true" outlineLevel="0" collapsed="false">
      <c r="A174" s="157"/>
      <c r="B174" s="157"/>
      <c r="C174" s="166" t="s">
        <v>336</v>
      </c>
      <c r="D174" s="158"/>
      <c r="E174" s="118" t="s">
        <v>72</v>
      </c>
      <c r="F174" s="158"/>
      <c r="G174" s="158"/>
      <c r="H174" s="163"/>
      <c r="I174" s="167" t="e">
        <f aca="false">IF(Bridge_Loan_Terms="amortization",I181,I197)</f>
        <v>#VALUE!</v>
      </c>
      <c r="J174" s="167" t="e">
        <f aca="false">IF(Bridge_Loan_Terms="amortization",J181,J197)</f>
        <v>#VALUE!</v>
      </c>
      <c r="K174" s="167" t="e">
        <f aca="false">IF(Bridge_Loan_Terms="amortization",K181,K197)</f>
        <v>#VALUE!</v>
      </c>
      <c r="L174" s="167" t="e">
        <f aca="false">IF(Bridge_Loan_Terms="amortization",L181,L197)</f>
        <v>#VALUE!</v>
      </c>
      <c r="M174" s="167" t="e">
        <f aca="false">IF(Bridge_Loan_Terms="amortization",M181,M197)</f>
        <v>#VALUE!</v>
      </c>
      <c r="N174" s="167" t="e">
        <f aca="false">IF(Bridge_Loan_Terms="amortization",N181,N197)</f>
        <v>#VALUE!</v>
      </c>
      <c r="O174" s="167" t="e">
        <f aca="false">IF(Bridge_Loan_Terms="amortization",O181,O197)</f>
        <v>#VALUE!</v>
      </c>
      <c r="P174" s="167" t="e">
        <f aca="false">IF(Bridge_Loan_Terms="amortization",P181,P197)</f>
        <v>#VALUE!</v>
      </c>
      <c r="Q174" s="167" t="e">
        <f aca="false">IF(Bridge_Loan_Terms="amortization",Q181,Q197)</f>
        <v>#VALUE!</v>
      </c>
      <c r="R174" s="167" t="e">
        <f aca="false">IF(Bridge_Loan_Terms="amortization",R181,R197)</f>
        <v>#VALUE!</v>
      </c>
      <c r="S174" s="167" t="e">
        <f aca="false">IF(Bridge_Loan_Terms="amortization",S181,S197)</f>
        <v>#VALUE!</v>
      </c>
      <c r="T174" s="167" t="e">
        <f aca="false">IF(Bridge_Loan_Terms="amortization",T181,T197)</f>
        <v>#VALUE!</v>
      </c>
      <c r="U174" s="167" t="e">
        <f aca="false">IF(Bridge_Loan_Terms="amortization",U181,U197)</f>
        <v>#VALUE!</v>
      </c>
      <c r="V174" s="167" t="e">
        <f aca="false">IF(Bridge_Loan_Terms="amortization",V181,V197)</f>
        <v>#VALUE!</v>
      </c>
      <c r="W174" s="167" t="e">
        <f aca="false">IF(Bridge_Loan_Terms="amortization",W181,W197)</f>
        <v>#VALUE!</v>
      </c>
      <c r="X174" s="167" t="e">
        <f aca="false">IF(Bridge_Loan_Terms="amortization",X181,X197)</f>
        <v>#VALUE!</v>
      </c>
      <c r="Y174" s="167" t="e">
        <f aca="false">IF(Bridge_Loan_Terms="amortization",Y181,Y197)</f>
        <v>#VALUE!</v>
      </c>
      <c r="Z174" s="167" t="e">
        <f aca="false">IF(Bridge_Loan_Terms="amortization",Z181,Z197)</f>
        <v>#VALUE!</v>
      </c>
      <c r="AA174" s="167" t="e">
        <f aca="false">IF(Bridge_Loan_Terms="amortization",AA181,AA197)</f>
        <v>#VALUE!</v>
      </c>
      <c r="AB174" s="167" t="e">
        <f aca="false">IF(Bridge_Loan_Terms="amortization",AB181,AB197)</f>
        <v>#VALUE!</v>
      </c>
      <c r="AC174" s="167" t="e">
        <f aca="false">IF(Bridge_Loan_Terms="amortization",AC181,AC197)</f>
        <v>#VALUE!</v>
      </c>
      <c r="AD174" s="167" t="e">
        <f aca="false">IF(Bridge_Loan_Terms="amortization",AD181,AD197)</f>
        <v>#VALUE!</v>
      </c>
      <c r="AE174" s="167" t="e">
        <f aca="false">IF(Bridge_Loan_Terms="amortization",AE181,AE197)</f>
        <v>#VALUE!</v>
      </c>
      <c r="AF174" s="167" t="e">
        <f aca="false">IF(Bridge_Loan_Terms="amortization",AF181,AF197)</f>
        <v>#VALUE!</v>
      </c>
      <c r="AG174" s="167" t="e">
        <f aca="false">IF(Bridge_Loan_Terms="amortization",AG181,AG197)</f>
        <v>#VALUE!</v>
      </c>
      <c r="AH174" s="167" t="e">
        <f aca="false">IF(Bridge_Loan_Terms="amortization",AH181,AH197)</f>
        <v>#VALUE!</v>
      </c>
      <c r="AI174" s="167" t="e">
        <f aca="false">IF(Bridge_Loan_Terms="amortization",AI181,AI197)</f>
        <v>#VALUE!</v>
      </c>
      <c r="AJ174" s="167" t="e">
        <f aca="false">IF(Bridge_Loan_Terms="amortization",AJ181,AJ197)</f>
        <v>#VALUE!</v>
      </c>
      <c r="AK174" s="167" t="e">
        <f aca="false">IF(Bridge_Loan_Terms="amortization",AK181,AK197)</f>
        <v>#VALUE!</v>
      </c>
      <c r="AL174" s="167" t="e">
        <f aca="false">IF(Bridge_Loan_Terms="amortization",AL181,AL197)</f>
        <v>#VALUE!</v>
      </c>
    </row>
    <row r="175" s="171" customFormat="true" ht="15" hidden="false" customHeight="false" outlineLevel="0" collapsed="false">
      <c r="E175" s="172"/>
      <c r="G175" s="173"/>
      <c r="H175" s="17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row>
    <row r="176" s="157" customFormat="true" ht="16.9" hidden="false" customHeight="true" outlineLevel="1" collapsed="false">
      <c r="B176" s="2" t="e">
        <f aca="false">(MAX($A$7:B164)+0.1)</f>
        <v>#VALUE!</v>
      </c>
      <c r="C176" s="2" t="s">
        <v>366</v>
      </c>
      <c r="E176" s="159"/>
      <c r="H176" s="161"/>
    </row>
    <row r="177" customFormat="false" ht="16.9" hidden="false" customHeight="true" outlineLevel="1" collapsed="false">
      <c r="A177" s="157"/>
      <c r="C177" s="0" t="s">
        <v>327</v>
      </c>
      <c r="E177" s="104" t="s">
        <v>72</v>
      </c>
      <c r="H177" s="161"/>
      <c r="I177" s="164" t="n">
        <f aca="false">H181</f>
        <v>0</v>
      </c>
      <c r="J177" s="164" t="e">
        <f aca="false">I181</f>
        <v>#VALUE!</v>
      </c>
      <c r="K177" s="164" t="e">
        <f aca="false">J181</f>
        <v>#VALUE!</v>
      </c>
      <c r="L177" s="164" t="e">
        <f aca="false">K181</f>
        <v>#VALUE!</v>
      </c>
      <c r="M177" s="164" t="e">
        <f aca="false">L181</f>
        <v>#VALUE!</v>
      </c>
      <c r="N177" s="164" t="e">
        <f aca="false">M181</f>
        <v>#VALUE!</v>
      </c>
      <c r="O177" s="164" t="e">
        <f aca="false">N181</f>
        <v>#VALUE!</v>
      </c>
      <c r="P177" s="164" t="e">
        <f aca="false">O181</f>
        <v>#VALUE!</v>
      </c>
      <c r="Q177" s="164" t="e">
        <f aca="false">P181</f>
        <v>#VALUE!</v>
      </c>
      <c r="R177" s="164" t="e">
        <f aca="false">Q181</f>
        <v>#VALUE!</v>
      </c>
      <c r="S177" s="164" t="e">
        <f aca="false">R181</f>
        <v>#VALUE!</v>
      </c>
      <c r="T177" s="164" t="e">
        <f aca="false">S181</f>
        <v>#VALUE!</v>
      </c>
      <c r="U177" s="164" t="e">
        <f aca="false">T181</f>
        <v>#VALUE!</v>
      </c>
      <c r="V177" s="164" t="e">
        <f aca="false">U181</f>
        <v>#VALUE!</v>
      </c>
      <c r="W177" s="164" t="e">
        <f aca="false">V181</f>
        <v>#VALUE!</v>
      </c>
      <c r="X177" s="164" t="e">
        <f aca="false">W181</f>
        <v>#VALUE!</v>
      </c>
      <c r="Y177" s="164" t="e">
        <f aca="false">X181</f>
        <v>#VALUE!</v>
      </c>
      <c r="Z177" s="164" t="e">
        <f aca="false">Y181</f>
        <v>#VALUE!</v>
      </c>
      <c r="AA177" s="164" t="e">
        <f aca="false">Z181</f>
        <v>#VALUE!</v>
      </c>
      <c r="AB177" s="164" t="e">
        <f aca="false">AA181</f>
        <v>#VALUE!</v>
      </c>
      <c r="AC177" s="164" t="e">
        <f aca="false">AB181</f>
        <v>#VALUE!</v>
      </c>
      <c r="AD177" s="164" t="e">
        <f aca="false">AC181</f>
        <v>#VALUE!</v>
      </c>
      <c r="AE177" s="164" t="e">
        <f aca="false">AD181</f>
        <v>#VALUE!</v>
      </c>
      <c r="AF177" s="164" t="e">
        <f aca="false">AE181</f>
        <v>#VALUE!</v>
      </c>
      <c r="AG177" s="164" t="e">
        <f aca="false">AF181</f>
        <v>#VALUE!</v>
      </c>
      <c r="AH177" s="164" t="e">
        <f aca="false">AG181</f>
        <v>#VALUE!</v>
      </c>
      <c r="AI177" s="164" t="e">
        <f aca="false">AH181</f>
        <v>#VALUE!</v>
      </c>
      <c r="AJ177" s="164" t="e">
        <f aca="false">AI181</f>
        <v>#VALUE!</v>
      </c>
      <c r="AK177" s="164" t="e">
        <f aca="false">AJ181</f>
        <v>#VALUE!</v>
      </c>
      <c r="AL177" s="164" t="e">
        <f aca="false">AK181</f>
        <v>#VALUE!</v>
      </c>
    </row>
    <row r="178" customFormat="false" ht="16.9" hidden="false" customHeight="true" outlineLevel="1" collapsed="false">
      <c r="A178" s="157"/>
      <c r="C178" s="165" t="s">
        <v>364</v>
      </c>
      <c r="E178" s="104" t="s">
        <v>72</v>
      </c>
      <c r="H178" s="161"/>
      <c r="I178" s="164" t="e">
        <f aca="false">I$19*$H$24</f>
        <v>#VALUE!</v>
      </c>
      <c r="J178" s="164" t="e">
        <f aca="false">J$19*$H$24</f>
        <v>#VALUE!</v>
      </c>
      <c r="K178" s="164" t="e">
        <f aca="false">K$19*$H$24</f>
        <v>#VALUE!</v>
      </c>
      <c r="L178" s="164" t="e">
        <f aca="false">L$19*$H$24</f>
        <v>#VALUE!</v>
      </c>
      <c r="M178" s="164" t="e">
        <f aca="false">M$19*$H$24</f>
        <v>#VALUE!</v>
      </c>
      <c r="N178" s="164" t="e">
        <f aca="false">N$19*$H$24</f>
        <v>#VALUE!</v>
      </c>
      <c r="O178" s="164" t="e">
        <f aca="false">O$19*$H$24</f>
        <v>#VALUE!</v>
      </c>
      <c r="P178" s="164" t="e">
        <f aca="false">P$19*$H$24</f>
        <v>#VALUE!</v>
      </c>
      <c r="Q178" s="164" t="e">
        <f aca="false">Q$19*$H$24</f>
        <v>#VALUE!</v>
      </c>
      <c r="R178" s="164" t="e">
        <f aca="false">R$19*$H$24</f>
        <v>#VALUE!</v>
      </c>
      <c r="S178" s="164" t="e">
        <f aca="false">S$19*$H$24</f>
        <v>#VALUE!</v>
      </c>
      <c r="T178" s="164" t="e">
        <f aca="false">T$19*$H$24</f>
        <v>#VALUE!</v>
      </c>
      <c r="U178" s="164" t="e">
        <f aca="false">U$19*$H$24</f>
        <v>#VALUE!</v>
      </c>
      <c r="V178" s="164" t="e">
        <f aca="false">V$19*$H$24</f>
        <v>#VALUE!</v>
      </c>
      <c r="W178" s="164" t="e">
        <f aca="false">W$19*$H$24</f>
        <v>#VALUE!</v>
      </c>
      <c r="X178" s="164" t="e">
        <f aca="false">X$19*$H$24</f>
        <v>#VALUE!</v>
      </c>
      <c r="Y178" s="164" t="e">
        <f aca="false">Y$19*$H$24</f>
        <v>#VALUE!</v>
      </c>
      <c r="Z178" s="164" t="e">
        <f aca="false">Z$19*$H$24</f>
        <v>#VALUE!</v>
      </c>
      <c r="AA178" s="164" t="e">
        <f aca="false">AA$19*$H$24</f>
        <v>#VALUE!</v>
      </c>
      <c r="AB178" s="164" t="e">
        <f aca="false">AB$19*$H$24</f>
        <v>#VALUE!</v>
      </c>
      <c r="AC178" s="164" t="e">
        <f aca="false">AC$19*$H$24</f>
        <v>#VALUE!</v>
      </c>
      <c r="AD178" s="164" t="e">
        <f aca="false">AD$19*$H$24</f>
        <v>#VALUE!</v>
      </c>
      <c r="AE178" s="164" t="e">
        <f aca="false">AE$19*$H$24</f>
        <v>#VALUE!</v>
      </c>
      <c r="AF178" s="164" t="e">
        <f aca="false">AF$19*$H$24</f>
        <v>#VALUE!</v>
      </c>
      <c r="AG178" s="164" t="e">
        <f aca="false">AG$19*$H$24</f>
        <v>#VALUE!</v>
      </c>
      <c r="AH178" s="164" t="e">
        <f aca="false">AH$19*$H$24</f>
        <v>#VALUE!</v>
      </c>
      <c r="AI178" s="164" t="e">
        <f aca="false">AI$19*$H$24</f>
        <v>#VALUE!</v>
      </c>
      <c r="AJ178" s="164" t="e">
        <f aca="false">AJ$19*$H$24</f>
        <v>#VALUE!</v>
      </c>
      <c r="AK178" s="164" t="e">
        <f aca="false">AK$19*$H$24</f>
        <v>#VALUE!</v>
      </c>
      <c r="AL178" s="164" t="e">
        <f aca="false">AL$19*$H$24</f>
        <v>#VALUE!</v>
      </c>
    </row>
    <row r="179" customFormat="false" ht="16.9" hidden="false" customHeight="true" outlineLevel="1" collapsed="false">
      <c r="A179" s="157"/>
      <c r="C179" s="165" t="s">
        <v>343</v>
      </c>
      <c r="E179" s="104" t="s">
        <v>72</v>
      </c>
      <c r="H179" s="161"/>
      <c r="I179" s="122" t="e">
        <f aca="false">I$6*(I177+SUM(I178)/2)*Bridge_Loan_Rate</f>
        <v>#VALUE!</v>
      </c>
      <c r="J179" s="122" t="e">
        <f aca="false">J$6*(J177+SUM(J178)/2)*Bridge_Loan_Rate</f>
        <v>#VALUE!</v>
      </c>
      <c r="K179" s="122" t="e">
        <f aca="false">K$6*(K177+SUM(K178)/2)*Bridge_Loan_Rate</f>
        <v>#VALUE!</v>
      </c>
      <c r="L179" s="122" t="e">
        <f aca="false">L$6*(L177+SUM(L178)/2)*Bridge_Loan_Rate</f>
        <v>#VALUE!</v>
      </c>
      <c r="M179" s="122" t="e">
        <f aca="false">M$6*(M177+SUM(M178)/2)*Bridge_Loan_Rate</f>
        <v>#VALUE!</v>
      </c>
      <c r="N179" s="122" t="e">
        <f aca="false">N$6*(N177+SUM(N178)/2)*Bridge_Loan_Rate</f>
        <v>#VALUE!</v>
      </c>
      <c r="O179" s="122" t="e">
        <f aca="false">O$6*(O177+SUM(O178)/2)*Bridge_Loan_Rate</f>
        <v>#VALUE!</v>
      </c>
      <c r="P179" s="122" t="e">
        <f aca="false">P$6*(P177+SUM(P178)/2)*Bridge_Loan_Rate</f>
        <v>#VALUE!</v>
      </c>
      <c r="Q179" s="122" t="e">
        <f aca="false">Q$6*(Q177+SUM(Q178)/2)*Bridge_Loan_Rate</f>
        <v>#VALUE!</v>
      </c>
      <c r="R179" s="122" t="e">
        <f aca="false">R$6*(R177+SUM(R178)/2)*Bridge_Loan_Rate</f>
        <v>#VALUE!</v>
      </c>
      <c r="S179" s="122" t="e">
        <f aca="false">S$6*(S177+SUM(S178)/2)*Bridge_Loan_Rate</f>
        <v>#VALUE!</v>
      </c>
      <c r="T179" s="122" t="e">
        <f aca="false">T$6*(T177+SUM(T178)/2)*Bridge_Loan_Rate</f>
        <v>#VALUE!</v>
      </c>
      <c r="U179" s="122" t="e">
        <f aca="false">U$6*(U177+SUM(U178)/2)*Bridge_Loan_Rate</f>
        <v>#VALUE!</v>
      </c>
      <c r="V179" s="122" t="e">
        <f aca="false">V$6*(V177+SUM(V178)/2)*Bridge_Loan_Rate</f>
        <v>#VALUE!</v>
      </c>
      <c r="W179" s="122" t="e">
        <f aca="false">W$6*(W177+SUM(W178)/2)*Bridge_Loan_Rate</f>
        <v>#VALUE!</v>
      </c>
      <c r="X179" s="122" t="e">
        <f aca="false">X$6*(X177+SUM(X178)/2)*Bridge_Loan_Rate</f>
        <v>#VALUE!</v>
      </c>
      <c r="Y179" s="122" t="e">
        <f aca="false">Y$6*(Y177+SUM(Y178)/2)*Bridge_Loan_Rate</f>
        <v>#VALUE!</v>
      </c>
      <c r="Z179" s="122" t="e">
        <f aca="false">Z$6*(Z177+SUM(Z178)/2)*Bridge_Loan_Rate</f>
        <v>#VALUE!</v>
      </c>
      <c r="AA179" s="122" t="e">
        <f aca="false">AA$6*(AA177+SUM(AA178)/2)*Bridge_Loan_Rate</f>
        <v>#VALUE!</v>
      </c>
      <c r="AB179" s="122" t="e">
        <f aca="false">AB$6*(AB177+SUM(AB178)/2)*Bridge_Loan_Rate</f>
        <v>#VALUE!</v>
      </c>
      <c r="AC179" s="122" t="e">
        <f aca="false">AC$6*(AC177+SUM(AC178)/2)*Bridge_Loan_Rate</f>
        <v>#VALUE!</v>
      </c>
      <c r="AD179" s="122" t="e">
        <f aca="false">AD$6*(AD177+SUM(AD178)/2)*Bridge_Loan_Rate</f>
        <v>#VALUE!</v>
      </c>
      <c r="AE179" s="122" t="e">
        <f aca="false">AE$6*(AE177+SUM(AE178)/2)*Bridge_Loan_Rate</f>
        <v>#VALUE!</v>
      </c>
      <c r="AF179" s="122" t="e">
        <f aca="false">AF$6*(AF177+SUM(AF178)/2)*Bridge_Loan_Rate</f>
        <v>#VALUE!</v>
      </c>
      <c r="AG179" s="122" t="e">
        <f aca="false">AG$6*(AG177+SUM(AG178)/2)*Bridge_Loan_Rate</f>
        <v>#VALUE!</v>
      </c>
      <c r="AH179" s="122" t="e">
        <f aca="false">AH$6*(AH177+SUM(AH178)/2)*Bridge_Loan_Rate</f>
        <v>#VALUE!</v>
      </c>
      <c r="AI179" s="122" t="e">
        <f aca="false">AI$6*(AI177+SUM(AI178)/2)*Bridge_Loan_Rate</f>
        <v>#VALUE!</v>
      </c>
      <c r="AJ179" s="122" t="e">
        <f aca="false">AJ$6*(AJ177+SUM(AJ178)/2)*Bridge_Loan_Rate</f>
        <v>#VALUE!</v>
      </c>
      <c r="AK179" s="122" t="e">
        <f aca="false">AK$6*(AK177+SUM(AK178)/2)*Bridge_Loan_Rate</f>
        <v>#VALUE!</v>
      </c>
      <c r="AL179" s="122" t="e">
        <f aca="false">AL$6*(AL177+SUM(AL178)/2)*Bridge_Loan_Rate</f>
        <v>#VALUE!</v>
      </c>
    </row>
    <row r="180" customFormat="false" ht="16.9" hidden="false" customHeight="true" outlineLevel="1" collapsed="false">
      <c r="A180" s="157"/>
      <c r="C180" s="165" t="s">
        <v>365</v>
      </c>
      <c r="E180" s="104" t="s">
        <v>72</v>
      </c>
      <c r="H180" s="161"/>
      <c r="I180" s="164" t="n">
        <f aca="false">IFERROR(PPMT(Bridge_Loan_Rate,I$10,Bridge_Loan_Tenor,I177-SUM($H184:H184)),0)</f>
        <v>0</v>
      </c>
      <c r="J180" s="164" t="n">
        <f aca="false">IFERROR(PPMT(Bridge_Loan_Rate,J$10,Bridge_Loan_Tenor,J177-SUM($H184:I184)),0)</f>
        <v>0</v>
      </c>
      <c r="K180" s="164" t="n">
        <f aca="false">IFERROR(PPMT(Bridge_Loan_Rate,K$10,Bridge_Loan_Tenor,K177-SUM($H184:J184)),0)</f>
        <v>0</v>
      </c>
      <c r="L180" s="164" t="n">
        <f aca="false">IFERROR(PPMT(Bridge_Loan_Rate,L$10,Bridge_Loan_Tenor,L177-SUM($H184:K184)),0)</f>
        <v>0</v>
      </c>
      <c r="M180" s="164" t="n">
        <f aca="false">IFERROR(PPMT(Bridge_Loan_Rate,M$10,Bridge_Loan_Tenor,M177-SUM($H184:L184)),0)</f>
        <v>0</v>
      </c>
      <c r="N180" s="164" t="n">
        <f aca="false">IFERROR(PPMT(Bridge_Loan_Rate,N$10,Bridge_Loan_Tenor,N177-SUM($H184:M184)),0)</f>
        <v>0</v>
      </c>
      <c r="O180" s="164" t="n">
        <f aca="false">IFERROR(PPMT(Bridge_Loan_Rate,O$10,Bridge_Loan_Tenor,O177-SUM($H184:N184)),0)</f>
        <v>0</v>
      </c>
      <c r="P180" s="164" t="n">
        <f aca="false">IFERROR(PPMT(Bridge_Loan_Rate,P$10,Bridge_Loan_Tenor,P177-SUM($H184:O184)),0)</f>
        <v>0</v>
      </c>
      <c r="Q180" s="164" t="n">
        <f aca="false">IFERROR(PPMT(Bridge_Loan_Rate,Q$10,Bridge_Loan_Tenor,Q177-SUM($H184:P184)),0)</f>
        <v>0</v>
      </c>
      <c r="R180" s="164" t="n">
        <f aca="false">IFERROR(PPMT(Bridge_Loan_Rate,R$10,Bridge_Loan_Tenor,R177-SUM($H184:Q184)),0)</f>
        <v>0</v>
      </c>
      <c r="S180" s="164" t="n">
        <f aca="false">IFERROR(PPMT(Bridge_Loan_Rate,S$10,Bridge_Loan_Tenor,S177-SUM($H184:R184)),0)</f>
        <v>0</v>
      </c>
      <c r="T180" s="164" t="n">
        <f aca="false">IFERROR(PPMT(Bridge_Loan_Rate,T$10,Bridge_Loan_Tenor,T177-SUM($H184:S184)),0)</f>
        <v>0</v>
      </c>
      <c r="U180" s="164" t="n">
        <f aca="false">IFERROR(PPMT(Bridge_Loan_Rate,U$10,Bridge_Loan_Tenor,U177-SUM($H184:T184)),0)</f>
        <v>0</v>
      </c>
      <c r="V180" s="164" t="n">
        <f aca="false">IFERROR(PPMT(Bridge_Loan_Rate,V$10,Bridge_Loan_Tenor,V177-SUM($H184:U184)),0)</f>
        <v>0</v>
      </c>
      <c r="W180" s="164" t="n">
        <f aca="false">IFERROR(PPMT(Bridge_Loan_Rate,W$10,Bridge_Loan_Tenor,W177-SUM($H184:V184)),0)</f>
        <v>0</v>
      </c>
      <c r="X180" s="164" t="n">
        <f aca="false">IFERROR(PPMT(Bridge_Loan_Rate,X$10,Bridge_Loan_Tenor,X177-SUM($H184:W184)),0)</f>
        <v>0</v>
      </c>
      <c r="Y180" s="164" t="n">
        <f aca="false">IFERROR(PPMT(Bridge_Loan_Rate,Y$10,Bridge_Loan_Tenor,Y177-SUM($H184:X184)),0)</f>
        <v>0</v>
      </c>
      <c r="Z180" s="164" t="n">
        <f aca="false">IFERROR(PPMT(Bridge_Loan_Rate,Z$10,Bridge_Loan_Tenor,Z177-SUM($H184:Y184)),0)</f>
        <v>0</v>
      </c>
      <c r="AA180" s="164" t="n">
        <f aca="false">IFERROR(PPMT(Bridge_Loan_Rate,AA$10,Bridge_Loan_Tenor,AA177-SUM($H184:Z184)),0)</f>
        <v>0</v>
      </c>
      <c r="AB180" s="164" t="n">
        <f aca="false">IFERROR(PPMT(Bridge_Loan_Rate,AB$10,Bridge_Loan_Tenor,AB177-SUM($H184:AA184)),0)</f>
        <v>0</v>
      </c>
      <c r="AC180" s="164" t="n">
        <f aca="false">IFERROR(PPMT(Bridge_Loan_Rate,AC$10,Bridge_Loan_Tenor,AC177-SUM($H184:AB184)),0)</f>
        <v>0</v>
      </c>
      <c r="AD180" s="164" t="n">
        <f aca="false">IFERROR(PPMT(Bridge_Loan_Rate,AD$10,Bridge_Loan_Tenor,AD177-SUM($H184:AC184)),0)</f>
        <v>0</v>
      </c>
      <c r="AE180" s="164" t="n">
        <f aca="false">IFERROR(PPMT(Bridge_Loan_Rate,AE$10,Bridge_Loan_Tenor,AE177-SUM($H184:AD184)),0)</f>
        <v>0</v>
      </c>
      <c r="AF180" s="164" t="n">
        <f aca="false">IFERROR(PPMT(Bridge_Loan_Rate,AF$10,Bridge_Loan_Tenor,AF177-SUM($H184:AE184)),0)</f>
        <v>0</v>
      </c>
      <c r="AG180" s="164" t="n">
        <f aca="false">IFERROR(PPMT(Bridge_Loan_Rate,AG$10,Bridge_Loan_Tenor,AG177-SUM($H184:AF184)),0)</f>
        <v>0</v>
      </c>
      <c r="AH180" s="164" t="n">
        <f aca="false">IFERROR(PPMT(Bridge_Loan_Rate,AH$10,Bridge_Loan_Tenor,AH177-SUM($H184:AG184)),0)</f>
        <v>0</v>
      </c>
      <c r="AI180" s="164" t="n">
        <f aca="false">IFERROR(PPMT(Bridge_Loan_Rate,AI$10,Bridge_Loan_Tenor,AI177-SUM($H184:AH184)),0)</f>
        <v>0</v>
      </c>
      <c r="AJ180" s="164" t="n">
        <f aca="false">IFERROR(PPMT(Bridge_Loan_Rate,AJ$10,Bridge_Loan_Tenor,AJ177-SUM($H184:AI184)),0)</f>
        <v>0</v>
      </c>
      <c r="AK180" s="164" t="n">
        <f aca="false">IFERROR(PPMT(Bridge_Loan_Rate,AK$10,Bridge_Loan_Tenor,AK177-SUM($H184:AJ184)),0)</f>
        <v>0</v>
      </c>
      <c r="AL180" s="164" t="n">
        <f aca="false">IFERROR(PPMT(Bridge_Loan_Rate,AL$10,Bridge_Loan_Tenor,AL177-SUM($H184:AK184)),0)</f>
        <v>0</v>
      </c>
    </row>
    <row r="181" customFormat="false" ht="16.9" hidden="false" customHeight="true" outlineLevel="1" collapsed="false">
      <c r="A181" s="157"/>
      <c r="C181" s="166" t="s">
        <v>336</v>
      </c>
      <c r="D181" s="158"/>
      <c r="E181" s="118" t="s">
        <v>72</v>
      </c>
      <c r="F181" s="158"/>
      <c r="G181" s="158"/>
      <c r="H181" s="163"/>
      <c r="I181" s="167" t="e">
        <f aca="false">SUM(I177:I180)</f>
        <v>#VALUE!</v>
      </c>
      <c r="J181" s="167" t="e">
        <f aca="false">SUM(J177:J180)</f>
        <v>#VALUE!</v>
      </c>
      <c r="K181" s="167" t="e">
        <f aca="false">SUM(K177:K180)</f>
        <v>#VALUE!</v>
      </c>
      <c r="L181" s="167" t="e">
        <f aca="false">SUM(L177:L180)</f>
        <v>#VALUE!</v>
      </c>
      <c r="M181" s="167" t="e">
        <f aca="false">SUM(M177:M180)</f>
        <v>#VALUE!</v>
      </c>
      <c r="N181" s="167" t="e">
        <f aca="false">SUM(N177:N180)</f>
        <v>#VALUE!</v>
      </c>
      <c r="O181" s="167" t="e">
        <f aca="false">SUM(O177:O180)</f>
        <v>#VALUE!</v>
      </c>
      <c r="P181" s="167" t="e">
        <f aca="false">SUM(P177:P180)</f>
        <v>#VALUE!</v>
      </c>
      <c r="Q181" s="167" t="e">
        <f aca="false">SUM(Q177:Q180)</f>
        <v>#VALUE!</v>
      </c>
      <c r="R181" s="167" t="e">
        <f aca="false">SUM(R177:R180)</f>
        <v>#VALUE!</v>
      </c>
      <c r="S181" s="167" t="e">
        <f aca="false">SUM(S177:S180)</f>
        <v>#VALUE!</v>
      </c>
      <c r="T181" s="167" t="e">
        <f aca="false">SUM(T177:T180)</f>
        <v>#VALUE!</v>
      </c>
      <c r="U181" s="167" t="e">
        <f aca="false">SUM(U177:U180)</f>
        <v>#VALUE!</v>
      </c>
      <c r="V181" s="167" t="e">
        <f aca="false">SUM(V177:V180)</f>
        <v>#VALUE!</v>
      </c>
      <c r="W181" s="167" t="e">
        <f aca="false">SUM(W177:W180)</f>
        <v>#VALUE!</v>
      </c>
      <c r="X181" s="167" t="e">
        <f aca="false">SUM(X177:X180)</f>
        <v>#VALUE!</v>
      </c>
      <c r="Y181" s="167" t="e">
        <f aca="false">SUM(Y177:Y180)</f>
        <v>#VALUE!</v>
      </c>
      <c r="Z181" s="167" t="e">
        <f aca="false">SUM(Z177:Z180)</f>
        <v>#VALUE!</v>
      </c>
      <c r="AA181" s="167" t="e">
        <f aca="false">SUM(AA177:AA180)</f>
        <v>#VALUE!</v>
      </c>
      <c r="AB181" s="167" t="e">
        <f aca="false">SUM(AB177:AB180)</f>
        <v>#VALUE!</v>
      </c>
      <c r="AC181" s="167" t="e">
        <f aca="false">SUM(AC177:AC180)</f>
        <v>#VALUE!</v>
      </c>
      <c r="AD181" s="167" t="e">
        <f aca="false">SUM(AD177:AD180)</f>
        <v>#VALUE!</v>
      </c>
      <c r="AE181" s="167" t="e">
        <f aca="false">SUM(AE177:AE180)</f>
        <v>#VALUE!</v>
      </c>
      <c r="AF181" s="167" t="e">
        <f aca="false">SUM(AF177:AF180)</f>
        <v>#VALUE!</v>
      </c>
      <c r="AG181" s="167" t="e">
        <f aca="false">SUM(AG177:AG180)</f>
        <v>#VALUE!</v>
      </c>
      <c r="AH181" s="167" t="e">
        <f aca="false">SUM(AH177:AH180)</f>
        <v>#VALUE!</v>
      </c>
      <c r="AI181" s="167" t="e">
        <f aca="false">SUM(AI177:AI180)</f>
        <v>#VALUE!</v>
      </c>
      <c r="AJ181" s="167" t="e">
        <f aca="false">SUM(AJ177:AJ180)</f>
        <v>#VALUE!</v>
      </c>
      <c r="AK181" s="167" t="e">
        <f aca="false">SUM(AK177:AK180)</f>
        <v>#VALUE!</v>
      </c>
      <c r="AL181" s="167" t="e">
        <f aca="false">SUM(AL177:AL180)</f>
        <v>#VALUE!</v>
      </c>
    </row>
    <row r="182" customFormat="false" ht="16.9" hidden="false" customHeight="true" outlineLevel="1" collapsed="false">
      <c r="A182" s="157"/>
      <c r="C182" s="168"/>
      <c r="D182" s="169"/>
      <c r="E182" s="155"/>
      <c r="F182" s="169"/>
      <c r="G182" s="169"/>
      <c r="H182" s="161"/>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row>
    <row r="183" s="171" customFormat="true" ht="15" hidden="false" customHeight="false" outlineLevel="1" collapsed="false">
      <c r="C183" s="171" t="s">
        <v>273</v>
      </c>
      <c r="E183" s="172" t="s">
        <v>72</v>
      </c>
      <c r="G183" s="173"/>
      <c r="H183" s="174"/>
      <c r="I183" s="164" t="n">
        <f aca="false">-I$7*I177*Bridge_Loan_Rate</f>
        <v>-0</v>
      </c>
      <c r="J183" s="164" t="e">
        <f aca="false">-J$7*J177*Bridge_Loan_Rate</f>
        <v>#VALUE!</v>
      </c>
      <c r="K183" s="164" t="e">
        <f aca="false">-K$7*K177*Bridge_Loan_Rate</f>
        <v>#VALUE!</v>
      </c>
      <c r="L183" s="164" t="e">
        <f aca="false">-L$7*L177*Bridge_Loan_Rate</f>
        <v>#VALUE!</v>
      </c>
      <c r="M183" s="164" t="e">
        <f aca="false">-M$7*M177*Bridge_Loan_Rate</f>
        <v>#VALUE!</v>
      </c>
      <c r="N183" s="164" t="e">
        <f aca="false">-N$7*N177*Bridge_Loan_Rate</f>
        <v>#VALUE!</v>
      </c>
      <c r="O183" s="164" t="e">
        <f aca="false">-O$7*O177*Bridge_Loan_Rate</f>
        <v>#VALUE!</v>
      </c>
      <c r="P183" s="164" t="e">
        <f aca="false">-P$7*P177*Bridge_Loan_Rate</f>
        <v>#VALUE!</v>
      </c>
      <c r="Q183" s="164" t="e">
        <f aca="false">-Q$7*Q177*Bridge_Loan_Rate</f>
        <v>#VALUE!</v>
      </c>
      <c r="R183" s="164" t="e">
        <f aca="false">-R$7*R177*Bridge_Loan_Rate</f>
        <v>#VALUE!</v>
      </c>
      <c r="S183" s="164" t="e">
        <f aca="false">-S$7*S177*Bridge_Loan_Rate</f>
        <v>#VALUE!</v>
      </c>
      <c r="T183" s="164" t="e">
        <f aca="false">-T$7*T177*Bridge_Loan_Rate</f>
        <v>#VALUE!</v>
      </c>
      <c r="U183" s="164" t="e">
        <f aca="false">-U$7*U177*Bridge_Loan_Rate</f>
        <v>#VALUE!</v>
      </c>
      <c r="V183" s="164" t="e">
        <f aca="false">-V$7*V177*Bridge_Loan_Rate</f>
        <v>#VALUE!</v>
      </c>
      <c r="W183" s="164" t="e">
        <f aca="false">-W$7*W177*Bridge_Loan_Rate</f>
        <v>#VALUE!</v>
      </c>
      <c r="X183" s="164" t="e">
        <f aca="false">-X$7*X177*Bridge_Loan_Rate</f>
        <v>#VALUE!</v>
      </c>
      <c r="Y183" s="164" t="e">
        <f aca="false">-Y$7*Y177*Bridge_Loan_Rate</f>
        <v>#VALUE!</v>
      </c>
      <c r="Z183" s="164" t="e">
        <f aca="false">-Z$7*Z177*Bridge_Loan_Rate</f>
        <v>#VALUE!</v>
      </c>
      <c r="AA183" s="164" t="e">
        <f aca="false">-AA$7*AA177*Bridge_Loan_Rate</f>
        <v>#VALUE!</v>
      </c>
      <c r="AB183" s="164" t="e">
        <f aca="false">-AB$7*AB177*Bridge_Loan_Rate</f>
        <v>#VALUE!</v>
      </c>
      <c r="AC183" s="164" t="e">
        <f aca="false">-AC$7*AC177*Bridge_Loan_Rate</f>
        <v>#VALUE!</v>
      </c>
      <c r="AD183" s="164" t="e">
        <f aca="false">-AD$7*AD177*Bridge_Loan_Rate</f>
        <v>#VALUE!</v>
      </c>
      <c r="AE183" s="164" t="e">
        <f aca="false">-AE$7*AE177*Bridge_Loan_Rate</f>
        <v>#VALUE!</v>
      </c>
      <c r="AF183" s="164" t="e">
        <f aca="false">-AF$7*AF177*Bridge_Loan_Rate</f>
        <v>#VALUE!</v>
      </c>
      <c r="AG183" s="164" t="e">
        <f aca="false">-AG$7*AG177*Bridge_Loan_Rate</f>
        <v>#VALUE!</v>
      </c>
      <c r="AH183" s="164" t="e">
        <f aca="false">-AH$7*AH177*Bridge_Loan_Rate</f>
        <v>#VALUE!</v>
      </c>
      <c r="AI183" s="164" t="e">
        <f aca="false">-AI$7*AI177*Bridge_Loan_Rate</f>
        <v>#VALUE!</v>
      </c>
      <c r="AJ183" s="164" t="e">
        <f aca="false">-AJ$7*AJ177*Bridge_Loan_Rate</f>
        <v>#VALUE!</v>
      </c>
      <c r="AK183" s="164" t="e">
        <f aca="false">-AK$7*AK177*Bridge_Loan_Rate</f>
        <v>#VALUE!</v>
      </c>
      <c r="AL183" s="164" t="e">
        <f aca="false">-AL$7*AL177*Bridge_Loan_Rate</f>
        <v>#VALUE!</v>
      </c>
    </row>
    <row r="184" s="157" customFormat="true" ht="16.9" hidden="false" customHeight="true" outlineLevel="1" collapsed="false">
      <c r="C184" s="165" t="s">
        <v>272</v>
      </c>
      <c r="E184" s="104" t="s">
        <v>72</v>
      </c>
      <c r="H184" s="161"/>
      <c r="I184" s="164" t="n">
        <f aca="false">I180</f>
        <v>0</v>
      </c>
      <c r="J184" s="164" t="n">
        <f aca="false">J180</f>
        <v>0</v>
      </c>
      <c r="K184" s="164" t="n">
        <f aca="false">K180</f>
        <v>0</v>
      </c>
      <c r="L184" s="164" t="n">
        <f aca="false">L180</f>
        <v>0</v>
      </c>
      <c r="M184" s="164" t="n">
        <f aca="false">M180</f>
        <v>0</v>
      </c>
      <c r="N184" s="164" t="n">
        <f aca="false">N180</f>
        <v>0</v>
      </c>
      <c r="O184" s="164" t="n">
        <f aca="false">O180</f>
        <v>0</v>
      </c>
      <c r="P184" s="164" t="n">
        <f aca="false">P180</f>
        <v>0</v>
      </c>
      <c r="Q184" s="164" t="n">
        <f aca="false">Q180</f>
        <v>0</v>
      </c>
      <c r="R184" s="164" t="n">
        <f aca="false">R180</f>
        <v>0</v>
      </c>
      <c r="S184" s="164" t="n">
        <f aca="false">S180</f>
        <v>0</v>
      </c>
      <c r="T184" s="164" t="n">
        <f aca="false">T180</f>
        <v>0</v>
      </c>
      <c r="U184" s="164" t="n">
        <f aca="false">U180</f>
        <v>0</v>
      </c>
      <c r="V184" s="164" t="n">
        <f aca="false">V180</f>
        <v>0</v>
      </c>
      <c r="W184" s="164" t="n">
        <f aca="false">W180</f>
        <v>0</v>
      </c>
      <c r="X184" s="164" t="n">
        <f aca="false">X180</f>
        <v>0</v>
      </c>
      <c r="Y184" s="164" t="n">
        <f aca="false">Y180</f>
        <v>0</v>
      </c>
      <c r="Z184" s="164" t="n">
        <f aca="false">Z180</f>
        <v>0</v>
      </c>
      <c r="AA184" s="164" t="n">
        <f aca="false">AA180</f>
        <v>0</v>
      </c>
      <c r="AB184" s="164" t="n">
        <f aca="false">AB180</f>
        <v>0</v>
      </c>
      <c r="AC184" s="164" t="n">
        <f aca="false">AC180</f>
        <v>0</v>
      </c>
      <c r="AD184" s="164" t="n">
        <f aca="false">AD180</f>
        <v>0</v>
      </c>
      <c r="AE184" s="164" t="n">
        <f aca="false">AE180</f>
        <v>0</v>
      </c>
      <c r="AF184" s="164" t="n">
        <f aca="false">AF180</f>
        <v>0</v>
      </c>
      <c r="AG184" s="164" t="n">
        <f aca="false">AG180</f>
        <v>0</v>
      </c>
      <c r="AH184" s="164" t="n">
        <f aca="false">AH180</f>
        <v>0</v>
      </c>
      <c r="AI184" s="164" t="n">
        <f aca="false">AI180</f>
        <v>0</v>
      </c>
      <c r="AJ184" s="164" t="n">
        <f aca="false">AJ180</f>
        <v>0</v>
      </c>
      <c r="AK184" s="164" t="n">
        <f aca="false">AK180</f>
        <v>0</v>
      </c>
      <c r="AL184" s="164" t="n">
        <f aca="false">AL180</f>
        <v>0</v>
      </c>
    </row>
    <row r="185" s="171" customFormat="true" ht="15" hidden="false" customHeight="false" outlineLevel="1" collapsed="false">
      <c r="C185" s="175" t="s">
        <v>360</v>
      </c>
      <c r="D185" s="175"/>
      <c r="E185" s="176" t="s">
        <v>72</v>
      </c>
      <c r="F185" s="175"/>
      <c r="G185" s="177"/>
      <c r="H185" s="178"/>
      <c r="I185" s="167" t="n">
        <f aca="false">SUM(I183:I184)</f>
        <v>0</v>
      </c>
      <c r="J185" s="167" t="e">
        <f aca="false">SUM(J183:J184)</f>
        <v>#VALUE!</v>
      </c>
      <c r="K185" s="167" t="e">
        <f aca="false">SUM(K183:K184)</f>
        <v>#VALUE!</v>
      </c>
      <c r="L185" s="167" t="e">
        <f aca="false">SUM(L183:L184)</f>
        <v>#VALUE!</v>
      </c>
      <c r="M185" s="167" t="e">
        <f aca="false">SUM(M183:M184)</f>
        <v>#VALUE!</v>
      </c>
      <c r="N185" s="167" t="e">
        <f aca="false">SUM(N183:N184)</f>
        <v>#VALUE!</v>
      </c>
      <c r="O185" s="167" t="e">
        <f aca="false">SUM(O183:O184)</f>
        <v>#VALUE!</v>
      </c>
      <c r="P185" s="167" t="e">
        <f aca="false">SUM(P183:P184)</f>
        <v>#VALUE!</v>
      </c>
      <c r="Q185" s="167" t="e">
        <f aca="false">SUM(Q183:Q184)</f>
        <v>#VALUE!</v>
      </c>
      <c r="R185" s="167" t="e">
        <f aca="false">SUM(R183:R184)</f>
        <v>#VALUE!</v>
      </c>
      <c r="S185" s="167" t="e">
        <f aca="false">SUM(S183:S184)</f>
        <v>#VALUE!</v>
      </c>
      <c r="T185" s="167" t="e">
        <f aca="false">SUM(T183:T184)</f>
        <v>#VALUE!</v>
      </c>
      <c r="U185" s="167" t="e">
        <f aca="false">SUM(U183:U184)</f>
        <v>#VALUE!</v>
      </c>
      <c r="V185" s="167" t="e">
        <f aca="false">SUM(V183:V184)</f>
        <v>#VALUE!</v>
      </c>
      <c r="W185" s="167" t="e">
        <f aca="false">SUM(W183:W184)</f>
        <v>#VALUE!</v>
      </c>
      <c r="X185" s="167" t="e">
        <f aca="false">SUM(X183:X184)</f>
        <v>#VALUE!</v>
      </c>
      <c r="Y185" s="167" t="e">
        <f aca="false">SUM(Y183:Y184)</f>
        <v>#VALUE!</v>
      </c>
      <c r="Z185" s="167" t="e">
        <f aca="false">SUM(Z183:Z184)</f>
        <v>#VALUE!</v>
      </c>
      <c r="AA185" s="167" t="e">
        <f aca="false">SUM(AA183:AA184)</f>
        <v>#VALUE!</v>
      </c>
      <c r="AB185" s="167" t="e">
        <f aca="false">SUM(AB183:AB184)</f>
        <v>#VALUE!</v>
      </c>
      <c r="AC185" s="167" t="e">
        <f aca="false">SUM(AC183:AC184)</f>
        <v>#VALUE!</v>
      </c>
      <c r="AD185" s="167" t="e">
        <f aca="false">SUM(AD183:AD184)</f>
        <v>#VALUE!</v>
      </c>
      <c r="AE185" s="167" t="e">
        <f aca="false">SUM(AE183:AE184)</f>
        <v>#VALUE!</v>
      </c>
      <c r="AF185" s="167" t="e">
        <f aca="false">SUM(AF183:AF184)</f>
        <v>#VALUE!</v>
      </c>
      <c r="AG185" s="167" t="e">
        <f aca="false">SUM(AG183:AG184)</f>
        <v>#VALUE!</v>
      </c>
      <c r="AH185" s="167" t="e">
        <f aca="false">SUM(AH183:AH184)</f>
        <v>#VALUE!</v>
      </c>
      <c r="AI185" s="167" t="e">
        <f aca="false">SUM(AI183:AI184)</f>
        <v>#VALUE!</v>
      </c>
      <c r="AJ185" s="167" t="e">
        <f aca="false">SUM(AJ183:AJ184)</f>
        <v>#VALUE!</v>
      </c>
      <c r="AK185" s="167" t="e">
        <f aca="false">SUM(AK183:AK184)</f>
        <v>#VALUE!</v>
      </c>
      <c r="AL185" s="167" t="e">
        <f aca="false">SUM(AL183:AL184)</f>
        <v>#VALUE!</v>
      </c>
    </row>
    <row r="186" customFormat="false" ht="15" hidden="false" customHeight="false" outlineLevel="1" collapsed="false">
      <c r="A186" s="171"/>
      <c r="B186" s="171"/>
      <c r="C186" s="179" t="s">
        <v>251</v>
      </c>
      <c r="D186" s="179"/>
      <c r="E186" s="180"/>
      <c r="F186" s="179"/>
      <c r="G186" s="181"/>
      <c r="H186" s="174"/>
      <c r="I186" s="168" t="n">
        <f aca="false">IF(Bridge_Loan_Terms="amortization",1*(-I185&gt;I190),0)</f>
        <v>0</v>
      </c>
      <c r="J186" s="168" t="n">
        <f aca="false">IF(Bridge_Loan_Terms="amortization",1*(-J185&gt;J190),0)</f>
        <v>0</v>
      </c>
      <c r="K186" s="168" t="n">
        <f aca="false">IF(Bridge_Loan_Terms="amortization",1*(-K185&gt;K190),0)</f>
        <v>0</v>
      </c>
      <c r="L186" s="168" t="n">
        <f aca="false">IF(Bridge_Loan_Terms="amortization",1*(-L185&gt;L190),0)</f>
        <v>0</v>
      </c>
      <c r="M186" s="168" t="n">
        <f aca="false">IF(Bridge_Loan_Terms="amortization",1*(-M185&gt;M190),0)</f>
        <v>0</v>
      </c>
      <c r="N186" s="168" t="n">
        <f aca="false">IF(Bridge_Loan_Terms="amortization",1*(-N185&gt;N190),0)</f>
        <v>0</v>
      </c>
      <c r="O186" s="168" t="n">
        <f aca="false">IF(Bridge_Loan_Terms="amortization",1*(-O185&gt;O190),0)</f>
        <v>0</v>
      </c>
      <c r="P186" s="168" t="n">
        <f aca="false">IF(Bridge_Loan_Terms="amortization",1*(-P185&gt;P190),0)</f>
        <v>0</v>
      </c>
      <c r="Q186" s="168" t="n">
        <f aca="false">IF(Bridge_Loan_Terms="amortization",1*(-Q185&gt;Q190),0)</f>
        <v>0</v>
      </c>
      <c r="R186" s="168" t="n">
        <f aca="false">IF(Bridge_Loan_Terms="amortization",1*(-R185&gt;R190),0)</f>
        <v>0</v>
      </c>
      <c r="S186" s="168" t="n">
        <f aca="false">IF(Bridge_Loan_Terms="amortization",1*(-S185&gt;S190),0)</f>
        <v>0</v>
      </c>
      <c r="T186" s="168" t="n">
        <f aca="false">IF(Bridge_Loan_Terms="amortization",1*(-T185&gt;T190),0)</f>
        <v>0</v>
      </c>
      <c r="U186" s="168" t="n">
        <f aca="false">IF(Bridge_Loan_Terms="amortization",1*(-U185&gt;U190),0)</f>
        <v>0</v>
      </c>
      <c r="V186" s="168" t="n">
        <f aca="false">IF(Bridge_Loan_Terms="amortization",1*(-V185&gt;V190),0)</f>
        <v>0</v>
      </c>
      <c r="W186" s="168" t="n">
        <f aca="false">IF(Bridge_Loan_Terms="amortization",1*(-W185&gt;W190),0)</f>
        <v>0</v>
      </c>
      <c r="X186" s="168" t="n">
        <f aca="false">IF(Bridge_Loan_Terms="amortization",1*(-X185&gt;X190),0)</f>
        <v>0</v>
      </c>
      <c r="Y186" s="168" t="n">
        <f aca="false">IF(Bridge_Loan_Terms="amortization",1*(-Y185&gt;Y190),0)</f>
        <v>0</v>
      </c>
      <c r="Z186" s="168" t="n">
        <f aca="false">IF(Bridge_Loan_Terms="amortization",1*(-Z185&gt;Z190),0)</f>
        <v>0</v>
      </c>
      <c r="AA186" s="168" t="n">
        <f aca="false">IF(Bridge_Loan_Terms="amortization",1*(-AA185&gt;AA190),0)</f>
        <v>0</v>
      </c>
      <c r="AB186" s="168" t="n">
        <f aca="false">IF(Bridge_Loan_Terms="amortization",1*(-AB185&gt;AB190),0)</f>
        <v>0</v>
      </c>
      <c r="AC186" s="168" t="n">
        <f aca="false">IF(Bridge_Loan_Terms="amortization",1*(-AC185&gt;AC190),0)</f>
        <v>0</v>
      </c>
      <c r="AD186" s="168" t="n">
        <f aca="false">IF(Bridge_Loan_Terms="amortization",1*(-AD185&gt;AD190),0)</f>
        <v>0</v>
      </c>
      <c r="AE186" s="168" t="n">
        <f aca="false">IF(Bridge_Loan_Terms="amortization",1*(-AE185&gt;AE190),0)</f>
        <v>0</v>
      </c>
      <c r="AF186" s="168" t="n">
        <f aca="false">IF(Bridge_Loan_Terms="amortization",1*(-AF185&gt;AF190),0)</f>
        <v>0</v>
      </c>
      <c r="AG186" s="168" t="n">
        <f aca="false">IF(Bridge_Loan_Terms="amortization",1*(-AG185&gt;AG190),0)</f>
        <v>0</v>
      </c>
      <c r="AH186" s="168" t="n">
        <f aca="false">IF(Bridge_Loan_Terms="amortization",1*(-AH185&gt;AH190),0)</f>
        <v>0</v>
      </c>
      <c r="AI186" s="168" t="n">
        <f aca="false">IF(Bridge_Loan_Terms="amortization",1*(-AI185&gt;AI190),0)</f>
        <v>0</v>
      </c>
      <c r="AJ186" s="168" t="n">
        <f aca="false">IF(Bridge_Loan_Terms="amortization",1*(-AJ185&gt;AJ190),0)</f>
        <v>0</v>
      </c>
      <c r="AK186" s="168" t="n">
        <f aca="false">IF(Bridge_Loan_Terms="amortization",1*(-AK185&gt;AK190),0)</f>
        <v>0</v>
      </c>
      <c r="AL186" s="168" t="n">
        <f aca="false">IF(Bridge_Loan_Terms="amortization",1*(-AL185&gt;AL190),0)</f>
        <v>0</v>
      </c>
    </row>
    <row r="187" customFormat="false" ht="15" hidden="false" customHeight="false" outlineLevel="1" collapsed="false">
      <c r="A187" s="171"/>
      <c r="B187" s="171"/>
      <c r="E187" s="172"/>
      <c r="G187" s="173"/>
      <c r="H187" s="17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row>
    <row r="188" customFormat="false" ht="15" hidden="false" customHeight="false" outlineLevel="1" collapsed="false">
      <c r="A188" s="171"/>
      <c r="B188" s="2" t="e">
        <f aca="false">(MAX($A$7:B187)+0.1)</f>
        <v>#VALUE!</v>
      </c>
      <c r="C188" s="2" t="s">
        <v>367</v>
      </c>
      <c r="E188" s="172"/>
      <c r="G188" s="173"/>
      <c r="H188" s="17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row>
    <row r="189" customFormat="false" ht="15" hidden="false" customHeight="false" outlineLevel="1" collapsed="false">
      <c r="A189" s="171"/>
      <c r="E189" s="172"/>
      <c r="G189" s="173"/>
      <c r="H189" s="17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row>
    <row r="190" customFormat="false" ht="15" hidden="false" customHeight="false" outlineLevel="1" collapsed="false">
      <c r="A190" s="171"/>
      <c r="C190" s="171" t="s">
        <v>368</v>
      </c>
      <c r="E190" s="104" t="s">
        <v>72</v>
      </c>
      <c r="G190" s="173"/>
      <c r="H190" s="174"/>
      <c r="I190" s="164" t="e">
        <f aca="false">'Cash Flow'!I133+'Cash Flow'!I134</f>
        <v>#NAME?</v>
      </c>
      <c r="J190" s="164" t="e">
        <f aca="false">'Cash Flow'!J133+'Cash Flow'!J134</f>
        <v>#NAME?</v>
      </c>
      <c r="K190" s="164" t="e">
        <f aca="false">'Cash Flow'!K133+'Cash Flow'!K134</f>
        <v>#NAME?</v>
      </c>
      <c r="L190" s="164" t="e">
        <f aca="false">'Cash Flow'!L133+'Cash Flow'!L134</f>
        <v>#NAME?</v>
      </c>
      <c r="M190" s="164" t="e">
        <f aca="false">'Cash Flow'!M133+'Cash Flow'!M134</f>
        <v>#NAME?</v>
      </c>
      <c r="N190" s="164" t="e">
        <f aca="false">'Cash Flow'!N133+'Cash Flow'!N134</f>
        <v>#NAME?</v>
      </c>
      <c r="O190" s="164" t="e">
        <f aca="false">'Cash Flow'!O133+'Cash Flow'!O134</f>
        <v>#NAME?</v>
      </c>
      <c r="P190" s="164" t="e">
        <f aca="false">'Cash Flow'!P133+'Cash Flow'!P134</f>
        <v>#NAME?</v>
      </c>
      <c r="Q190" s="164" t="e">
        <f aca="false">'Cash Flow'!Q133+'Cash Flow'!Q134</f>
        <v>#NAME?</v>
      </c>
      <c r="R190" s="164" t="e">
        <f aca="false">'Cash Flow'!R133+'Cash Flow'!R134</f>
        <v>#NAME?</v>
      </c>
      <c r="S190" s="164" t="e">
        <f aca="false">'Cash Flow'!S133+'Cash Flow'!S134</f>
        <v>#NAME?</v>
      </c>
      <c r="T190" s="164" t="e">
        <f aca="false">'Cash Flow'!T133+'Cash Flow'!T134</f>
        <v>#NAME?</v>
      </c>
      <c r="U190" s="164" t="e">
        <f aca="false">'Cash Flow'!U133+'Cash Flow'!U134</f>
        <v>#NAME?</v>
      </c>
      <c r="V190" s="164" t="e">
        <f aca="false">'Cash Flow'!V133+'Cash Flow'!V134</f>
        <v>#NAME?</v>
      </c>
      <c r="W190" s="164" t="e">
        <f aca="false">'Cash Flow'!W133+'Cash Flow'!W134</f>
        <v>#NAME?</v>
      </c>
      <c r="X190" s="164" t="e">
        <f aca="false">'Cash Flow'!X133+'Cash Flow'!X134</f>
        <v>#NAME?</v>
      </c>
      <c r="Y190" s="164" t="e">
        <f aca="false">'Cash Flow'!Y133+'Cash Flow'!Y134</f>
        <v>#NAME?</v>
      </c>
      <c r="Z190" s="164" t="e">
        <f aca="false">'Cash Flow'!Z133+'Cash Flow'!Z134</f>
        <v>#NAME?</v>
      </c>
      <c r="AA190" s="164" t="e">
        <f aca="false">'Cash Flow'!AA133+'Cash Flow'!AA134</f>
        <v>#NAME?</v>
      </c>
      <c r="AB190" s="164" t="e">
        <f aca="false">'Cash Flow'!AB133+'Cash Flow'!AB134</f>
        <v>#NAME?</v>
      </c>
      <c r="AC190" s="164" t="e">
        <f aca="false">'Cash Flow'!AC133+'Cash Flow'!AC134</f>
        <v>#NAME?</v>
      </c>
      <c r="AD190" s="164" t="e">
        <f aca="false">'Cash Flow'!AD133+'Cash Flow'!AD134</f>
        <v>#NAME?</v>
      </c>
      <c r="AE190" s="164" t="e">
        <f aca="false">'Cash Flow'!AE133+'Cash Flow'!AE134</f>
        <v>#NAME?</v>
      </c>
      <c r="AF190" s="164" t="e">
        <f aca="false">'Cash Flow'!AF133+'Cash Flow'!AF134</f>
        <v>#NAME?</v>
      </c>
      <c r="AG190" s="164" t="e">
        <f aca="false">'Cash Flow'!AG133+'Cash Flow'!AG134</f>
        <v>#NAME?</v>
      </c>
      <c r="AH190" s="164" t="e">
        <f aca="false">'Cash Flow'!AH133+'Cash Flow'!AH134</f>
        <v>#NAME?</v>
      </c>
      <c r="AI190" s="164" t="e">
        <f aca="false">'Cash Flow'!AI133+'Cash Flow'!AI134</f>
        <v>#NAME?</v>
      </c>
      <c r="AJ190" s="164" t="e">
        <f aca="false">'Cash Flow'!AJ133+'Cash Flow'!AJ134</f>
        <v>#NAME?</v>
      </c>
      <c r="AK190" s="164" t="e">
        <f aca="false">'Cash Flow'!AK133+'Cash Flow'!AK134</f>
        <v>#NAME?</v>
      </c>
      <c r="AL190" s="164" t="e">
        <f aca="false">'Cash Flow'!AL133+'Cash Flow'!AL134</f>
        <v>#NAME?</v>
      </c>
    </row>
    <row r="191" customFormat="false" ht="15" hidden="false" customHeight="false" outlineLevel="1" collapsed="false">
      <c r="A191" s="171"/>
      <c r="C191" s="171" t="s">
        <v>369</v>
      </c>
      <c r="E191" s="104" t="s">
        <v>72</v>
      </c>
      <c r="G191" s="173"/>
      <c r="H191" s="174"/>
      <c r="I191" s="164" t="e">
        <f aca="false">I190*($H$50/$H$51)</f>
        <v>#DIV/0!</v>
      </c>
      <c r="J191" s="164" t="e">
        <f aca="false">J190*($H$50/$H$51)</f>
        <v>#DIV/0!</v>
      </c>
      <c r="K191" s="164" t="e">
        <f aca="false">K190*($H$50/$H$51)</f>
        <v>#DIV/0!</v>
      </c>
      <c r="L191" s="164" t="e">
        <f aca="false">L190*($H$50/$H$51)</f>
        <v>#DIV/0!</v>
      </c>
      <c r="M191" s="164" t="e">
        <f aca="false">M190*($H$50/$H$51)</f>
        <v>#DIV/0!</v>
      </c>
      <c r="N191" s="164" t="e">
        <f aca="false">N190*($H$50/$H$51)</f>
        <v>#DIV/0!</v>
      </c>
      <c r="O191" s="164" t="e">
        <f aca="false">O190*($H$50/$H$51)</f>
        <v>#DIV/0!</v>
      </c>
      <c r="P191" s="164" t="e">
        <f aca="false">P190*($H$50/$H$51)</f>
        <v>#DIV/0!</v>
      </c>
      <c r="Q191" s="164" t="e">
        <f aca="false">Q190*($H$50/$H$51)</f>
        <v>#DIV/0!</v>
      </c>
      <c r="R191" s="164" t="e">
        <f aca="false">R190*($H$50/$H$51)</f>
        <v>#DIV/0!</v>
      </c>
      <c r="S191" s="164" t="e">
        <f aca="false">S190*($H$50/$H$51)</f>
        <v>#DIV/0!</v>
      </c>
      <c r="T191" s="164" t="e">
        <f aca="false">T190*($H$50/$H$51)</f>
        <v>#DIV/0!</v>
      </c>
      <c r="U191" s="164" t="e">
        <f aca="false">U190*($H$50/$H$51)</f>
        <v>#DIV/0!</v>
      </c>
      <c r="V191" s="164" t="e">
        <f aca="false">V190*($H$50/$H$51)</f>
        <v>#DIV/0!</v>
      </c>
      <c r="W191" s="164" t="e">
        <f aca="false">W190*($H$50/$H$51)</f>
        <v>#DIV/0!</v>
      </c>
      <c r="X191" s="164" t="e">
        <f aca="false">X190*($H$50/$H$51)</f>
        <v>#DIV/0!</v>
      </c>
      <c r="Y191" s="164" t="e">
        <f aca="false">Y190*($H$50/$H$51)</f>
        <v>#DIV/0!</v>
      </c>
      <c r="Z191" s="164" t="e">
        <f aca="false">Z190*($H$50/$H$51)</f>
        <v>#DIV/0!</v>
      </c>
      <c r="AA191" s="164" t="e">
        <f aca="false">AA190*($H$50/$H$51)</f>
        <v>#DIV/0!</v>
      </c>
      <c r="AB191" s="164" t="e">
        <f aca="false">AB190*($H$50/$H$51)</f>
        <v>#DIV/0!</v>
      </c>
      <c r="AC191" s="164" t="e">
        <f aca="false">AC190*($H$50/$H$51)</f>
        <v>#DIV/0!</v>
      </c>
      <c r="AD191" s="164" t="e">
        <f aca="false">AD190*($H$50/$H$51)</f>
        <v>#DIV/0!</v>
      </c>
      <c r="AE191" s="164" t="e">
        <f aca="false">AE190*($H$50/$H$51)</f>
        <v>#DIV/0!</v>
      </c>
      <c r="AF191" s="164" t="e">
        <f aca="false">AF190*($H$50/$H$51)</f>
        <v>#DIV/0!</v>
      </c>
      <c r="AG191" s="164" t="e">
        <f aca="false">AG190*($H$50/$H$51)</f>
        <v>#DIV/0!</v>
      </c>
      <c r="AH191" s="164" t="e">
        <f aca="false">AH190*($H$50/$H$51)</f>
        <v>#DIV/0!</v>
      </c>
      <c r="AI191" s="164" t="e">
        <f aca="false">AI190*($H$50/$H$51)</f>
        <v>#DIV/0!</v>
      </c>
      <c r="AJ191" s="164" t="e">
        <f aca="false">AJ190*($H$50/$H$51)</f>
        <v>#DIV/0!</v>
      </c>
      <c r="AK191" s="164" t="e">
        <f aca="false">AK190*($H$50/$H$51)</f>
        <v>#DIV/0!</v>
      </c>
      <c r="AL191" s="164" t="e">
        <f aca="false">AL190*($H$50/$H$51)</f>
        <v>#DIV/0!</v>
      </c>
    </row>
    <row r="192" customFormat="false" ht="15" hidden="false" customHeight="false" outlineLevel="1" collapsed="false">
      <c r="A192" s="171"/>
      <c r="E192" s="172"/>
      <c r="G192" s="173"/>
      <c r="H192" s="17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row>
    <row r="193" customFormat="false" ht="15" hidden="false" customHeight="false" outlineLevel="1" collapsed="false">
      <c r="A193" s="171"/>
      <c r="C193" s="0" t="s">
        <v>327</v>
      </c>
      <c r="E193" s="104" t="s">
        <v>72</v>
      </c>
      <c r="G193" s="173"/>
      <c r="H193" s="174"/>
      <c r="I193" s="164" t="n">
        <f aca="false">H197</f>
        <v>0</v>
      </c>
      <c r="J193" s="164" t="e">
        <f aca="false">I197</f>
        <v>#VALUE!</v>
      </c>
      <c r="K193" s="164" t="e">
        <f aca="false">J197</f>
        <v>#VALUE!</v>
      </c>
      <c r="L193" s="164" t="e">
        <f aca="false">K197</f>
        <v>#VALUE!</v>
      </c>
      <c r="M193" s="164" t="e">
        <f aca="false">L197</f>
        <v>#VALUE!</v>
      </c>
      <c r="N193" s="164" t="e">
        <f aca="false">M197</f>
        <v>#VALUE!</v>
      </c>
      <c r="O193" s="164" t="e">
        <f aca="false">N197</f>
        <v>#VALUE!</v>
      </c>
      <c r="P193" s="164" t="e">
        <f aca="false">O197</f>
        <v>#VALUE!</v>
      </c>
      <c r="Q193" s="164" t="e">
        <f aca="false">P197</f>
        <v>#VALUE!</v>
      </c>
      <c r="R193" s="164" t="e">
        <f aca="false">Q197</f>
        <v>#VALUE!</v>
      </c>
      <c r="S193" s="164" t="e">
        <f aca="false">R197</f>
        <v>#VALUE!</v>
      </c>
      <c r="T193" s="164" t="e">
        <f aca="false">S197</f>
        <v>#VALUE!</v>
      </c>
      <c r="U193" s="164" t="e">
        <f aca="false">T197</f>
        <v>#VALUE!</v>
      </c>
      <c r="V193" s="164" t="e">
        <f aca="false">U197</f>
        <v>#VALUE!</v>
      </c>
      <c r="W193" s="164" t="e">
        <f aca="false">V197</f>
        <v>#VALUE!</v>
      </c>
      <c r="X193" s="164" t="e">
        <f aca="false">W197</f>
        <v>#VALUE!</v>
      </c>
      <c r="Y193" s="164" t="e">
        <f aca="false">X197</f>
        <v>#VALUE!</v>
      </c>
      <c r="Z193" s="164" t="e">
        <f aca="false">Y197</f>
        <v>#VALUE!</v>
      </c>
      <c r="AA193" s="164" t="e">
        <f aca="false">Z197</f>
        <v>#VALUE!</v>
      </c>
      <c r="AB193" s="164" t="e">
        <f aca="false">AA197</f>
        <v>#VALUE!</v>
      </c>
      <c r="AC193" s="164" t="e">
        <f aca="false">AB197</f>
        <v>#VALUE!</v>
      </c>
      <c r="AD193" s="164" t="e">
        <f aca="false">AC197</f>
        <v>#VALUE!</v>
      </c>
      <c r="AE193" s="164" t="e">
        <f aca="false">AD197</f>
        <v>#VALUE!</v>
      </c>
      <c r="AF193" s="164" t="e">
        <f aca="false">AE197</f>
        <v>#VALUE!</v>
      </c>
      <c r="AG193" s="164" t="e">
        <f aca="false">AF197</f>
        <v>#VALUE!</v>
      </c>
      <c r="AH193" s="164" t="e">
        <f aca="false">AG197</f>
        <v>#VALUE!</v>
      </c>
      <c r="AI193" s="164" t="e">
        <f aca="false">AH197</f>
        <v>#VALUE!</v>
      </c>
      <c r="AJ193" s="164" t="e">
        <f aca="false">AI197</f>
        <v>#VALUE!</v>
      </c>
      <c r="AK193" s="164" t="e">
        <f aca="false">AJ197</f>
        <v>#VALUE!</v>
      </c>
      <c r="AL193" s="164" t="e">
        <f aca="false">AK197</f>
        <v>#VALUE!</v>
      </c>
    </row>
    <row r="194" customFormat="false" ht="15" hidden="false" customHeight="false" outlineLevel="1" collapsed="false">
      <c r="A194" s="171"/>
      <c r="C194" s="165" t="s">
        <v>364</v>
      </c>
      <c r="D194" s="157"/>
      <c r="E194" s="104" t="s">
        <v>72</v>
      </c>
      <c r="G194" s="173"/>
      <c r="H194" s="174"/>
      <c r="I194" s="164" t="e">
        <f aca="false">I$19*$H$24</f>
        <v>#VALUE!</v>
      </c>
      <c r="J194" s="164" t="e">
        <f aca="false">J$19*$H$24</f>
        <v>#VALUE!</v>
      </c>
      <c r="K194" s="164" t="e">
        <f aca="false">K$19*$H$24</f>
        <v>#VALUE!</v>
      </c>
      <c r="L194" s="164" t="e">
        <f aca="false">L$19*$H$24</f>
        <v>#VALUE!</v>
      </c>
      <c r="M194" s="164" t="e">
        <f aca="false">M$19*$H$24</f>
        <v>#VALUE!</v>
      </c>
      <c r="N194" s="164" t="e">
        <f aca="false">N$19*$H$24</f>
        <v>#VALUE!</v>
      </c>
      <c r="O194" s="164" t="e">
        <f aca="false">O$19*$H$24</f>
        <v>#VALUE!</v>
      </c>
      <c r="P194" s="164" t="e">
        <f aca="false">P$19*$H$24</f>
        <v>#VALUE!</v>
      </c>
      <c r="Q194" s="164" t="e">
        <f aca="false">Q$19*$H$24</f>
        <v>#VALUE!</v>
      </c>
      <c r="R194" s="164" t="e">
        <f aca="false">R$19*$H$24</f>
        <v>#VALUE!</v>
      </c>
      <c r="S194" s="164" t="e">
        <f aca="false">S$19*$H$24</f>
        <v>#VALUE!</v>
      </c>
      <c r="T194" s="164" t="e">
        <f aca="false">T$19*$H$24</f>
        <v>#VALUE!</v>
      </c>
      <c r="U194" s="164" t="e">
        <f aca="false">U$19*$H$24</f>
        <v>#VALUE!</v>
      </c>
      <c r="V194" s="164" t="e">
        <f aca="false">V$19*$H$24</f>
        <v>#VALUE!</v>
      </c>
      <c r="W194" s="164" t="e">
        <f aca="false">W$19*$H$24</f>
        <v>#VALUE!</v>
      </c>
      <c r="X194" s="164" t="e">
        <f aca="false">X$19*$H$24</f>
        <v>#VALUE!</v>
      </c>
      <c r="Y194" s="164" t="e">
        <f aca="false">Y$19*$H$24</f>
        <v>#VALUE!</v>
      </c>
      <c r="Z194" s="164" t="e">
        <f aca="false">Z$19*$H$24</f>
        <v>#VALUE!</v>
      </c>
      <c r="AA194" s="164" t="e">
        <f aca="false">AA$19*$H$24</f>
        <v>#VALUE!</v>
      </c>
      <c r="AB194" s="164" t="e">
        <f aca="false">AB$19*$H$24</f>
        <v>#VALUE!</v>
      </c>
      <c r="AC194" s="164" t="e">
        <f aca="false">AC$19*$H$24</f>
        <v>#VALUE!</v>
      </c>
      <c r="AD194" s="164" t="e">
        <f aca="false">AD$19*$H$24</f>
        <v>#VALUE!</v>
      </c>
      <c r="AE194" s="164" t="e">
        <f aca="false">AE$19*$H$24</f>
        <v>#VALUE!</v>
      </c>
      <c r="AF194" s="164" t="e">
        <f aca="false">AF$19*$H$24</f>
        <v>#VALUE!</v>
      </c>
      <c r="AG194" s="164" t="e">
        <f aca="false">AG$19*$H$24</f>
        <v>#VALUE!</v>
      </c>
      <c r="AH194" s="164" t="e">
        <f aca="false">AH$19*$H$24</f>
        <v>#VALUE!</v>
      </c>
      <c r="AI194" s="164" t="e">
        <f aca="false">AI$19*$H$24</f>
        <v>#VALUE!</v>
      </c>
      <c r="AJ194" s="164" t="e">
        <f aca="false">AJ$19*$H$24</f>
        <v>#VALUE!</v>
      </c>
      <c r="AK194" s="164" t="e">
        <f aca="false">AK$19*$H$24</f>
        <v>#VALUE!</v>
      </c>
      <c r="AL194" s="164" t="e">
        <f aca="false">AL$19*$H$24</f>
        <v>#VALUE!</v>
      </c>
    </row>
    <row r="195" customFormat="false" ht="15" hidden="false" customHeight="false" outlineLevel="1" collapsed="false">
      <c r="A195" s="171"/>
      <c r="C195" s="165" t="s">
        <v>343</v>
      </c>
      <c r="D195" s="157"/>
      <c r="E195" s="104" t="s">
        <v>72</v>
      </c>
      <c r="F195" s="157"/>
      <c r="G195" s="157"/>
      <c r="H195" s="161"/>
      <c r="I195" s="122" t="e">
        <f aca="false">I$6*(I193+SUM(I194)/2)*Bridge_Loan_Rate+(I199=0)*I193*Bridge_Loan_Rate</f>
        <v>#VALUE!</v>
      </c>
      <c r="J195" s="122" t="e">
        <f aca="false">J$6*(J193+SUM(J194)/2)*Bridge_Loan_Rate+(J199=0)*J193*Bridge_Loan_Rate</f>
        <v>#VALUE!</v>
      </c>
      <c r="K195" s="122" t="e">
        <f aca="false">K$6*(K193+SUM(K194)/2)*Bridge_Loan_Rate+(K199=0)*K193*Bridge_Loan_Rate</f>
        <v>#VALUE!</v>
      </c>
      <c r="L195" s="122" t="e">
        <f aca="false">L$6*(L193+SUM(L194)/2)*Bridge_Loan_Rate+(L199=0)*L193*Bridge_Loan_Rate</f>
        <v>#VALUE!</v>
      </c>
      <c r="M195" s="122" t="e">
        <f aca="false">M$6*(M193+SUM(M194)/2)*Bridge_Loan_Rate+(M199=0)*M193*Bridge_Loan_Rate</f>
        <v>#VALUE!</v>
      </c>
      <c r="N195" s="122" t="e">
        <f aca="false">N$6*(N193+SUM(N194)/2)*Bridge_Loan_Rate+(N199=0)*N193*Bridge_Loan_Rate</f>
        <v>#VALUE!</v>
      </c>
      <c r="O195" s="122" t="e">
        <f aca="false">O$6*(O193+SUM(O194)/2)*Bridge_Loan_Rate+(O199=0)*O193*Bridge_Loan_Rate</f>
        <v>#VALUE!</v>
      </c>
      <c r="P195" s="122" t="e">
        <f aca="false">P$6*(P193+SUM(P194)/2)*Bridge_Loan_Rate+(P199=0)*P193*Bridge_Loan_Rate</f>
        <v>#VALUE!</v>
      </c>
      <c r="Q195" s="122" t="e">
        <f aca="false">Q$6*(Q193+SUM(Q194)/2)*Bridge_Loan_Rate+(Q199=0)*Q193*Bridge_Loan_Rate</f>
        <v>#VALUE!</v>
      </c>
      <c r="R195" s="122" t="e">
        <f aca="false">R$6*(R193+SUM(R194)/2)*Bridge_Loan_Rate+(R199=0)*R193*Bridge_Loan_Rate</f>
        <v>#VALUE!</v>
      </c>
      <c r="S195" s="122" t="e">
        <f aca="false">S$6*(S193+SUM(S194)/2)*Bridge_Loan_Rate+(S199=0)*S193*Bridge_Loan_Rate</f>
        <v>#VALUE!</v>
      </c>
      <c r="T195" s="122" t="e">
        <f aca="false">T$6*(T193+SUM(T194)/2)*Bridge_Loan_Rate+(T199=0)*T193*Bridge_Loan_Rate</f>
        <v>#VALUE!</v>
      </c>
      <c r="U195" s="122" t="e">
        <f aca="false">U$6*(U193+SUM(U194)/2)*Bridge_Loan_Rate+(U199=0)*U193*Bridge_Loan_Rate</f>
        <v>#VALUE!</v>
      </c>
      <c r="V195" s="122" t="e">
        <f aca="false">V$6*(V193+SUM(V194)/2)*Bridge_Loan_Rate+(V199=0)*V193*Bridge_Loan_Rate</f>
        <v>#VALUE!</v>
      </c>
      <c r="W195" s="122" t="e">
        <f aca="false">W$6*(W193+SUM(W194)/2)*Bridge_Loan_Rate+(W199=0)*W193*Bridge_Loan_Rate</f>
        <v>#VALUE!</v>
      </c>
      <c r="X195" s="122" t="e">
        <f aca="false">X$6*(X193+SUM(X194)/2)*Bridge_Loan_Rate+(X199=0)*X193*Bridge_Loan_Rate</f>
        <v>#VALUE!</v>
      </c>
      <c r="Y195" s="122" t="e">
        <f aca="false">Y$6*(Y193+SUM(Y194)/2)*Bridge_Loan_Rate+(Y199=0)*Y193*Bridge_Loan_Rate</f>
        <v>#VALUE!</v>
      </c>
      <c r="Z195" s="122" t="e">
        <f aca="false">Z$6*(Z193+SUM(Z194)/2)*Bridge_Loan_Rate+(Z199=0)*Z193*Bridge_Loan_Rate</f>
        <v>#VALUE!</v>
      </c>
      <c r="AA195" s="122" t="e">
        <f aca="false">AA$6*(AA193+SUM(AA194)/2)*Bridge_Loan_Rate+(AA199=0)*AA193*Bridge_Loan_Rate</f>
        <v>#VALUE!</v>
      </c>
      <c r="AB195" s="122" t="e">
        <f aca="false">AB$6*(AB193+SUM(AB194)/2)*Bridge_Loan_Rate+(AB199=0)*AB193*Bridge_Loan_Rate</f>
        <v>#VALUE!</v>
      </c>
      <c r="AC195" s="122" t="e">
        <f aca="false">AC$6*(AC193+SUM(AC194)/2)*Bridge_Loan_Rate+(AC199=0)*AC193*Bridge_Loan_Rate</f>
        <v>#VALUE!</v>
      </c>
      <c r="AD195" s="122" t="e">
        <f aca="false">AD$6*(AD193+SUM(AD194)/2)*Bridge_Loan_Rate+(AD199=0)*AD193*Bridge_Loan_Rate</f>
        <v>#VALUE!</v>
      </c>
      <c r="AE195" s="122" t="e">
        <f aca="false">AE$6*(AE193+SUM(AE194)/2)*Bridge_Loan_Rate+(AE199=0)*AE193*Bridge_Loan_Rate</f>
        <v>#VALUE!</v>
      </c>
      <c r="AF195" s="122" t="e">
        <f aca="false">AF$6*(AF193+SUM(AF194)/2)*Bridge_Loan_Rate+(AF199=0)*AF193*Bridge_Loan_Rate</f>
        <v>#VALUE!</v>
      </c>
      <c r="AG195" s="122" t="e">
        <f aca="false">AG$6*(AG193+SUM(AG194)/2)*Bridge_Loan_Rate+(AG199=0)*AG193*Bridge_Loan_Rate</f>
        <v>#VALUE!</v>
      </c>
      <c r="AH195" s="122" t="e">
        <f aca="false">AH$6*(AH193+SUM(AH194)/2)*Bridge_Loan_Rate+(AH199=0)*AH193*Bridge_Loan_Rate</f>
        <v>#VALUE!</v>
      </c>
      <c r="AI195" s="122" t="e">
        <f aca="false">AI$6*(AI193+SUM(AI194)/2)*Bridge_Loan_Rate+(AI199=0)*AI193*Bridge_Loan_Rate</f>
        <v>#VALUE!</v>
      </c>
      <c r="AJ195" s="122" t="e">
        <f aca="false">AJ$6*(AJ193+SUM(AJ194)/2)*Bridge_Loan_Rate+(AJ199=0)*AJ193*Bridge_Loan_Rate</f>
        <v>#VALUE!</v>
      </c>
      <c r="AK195" s="122" t="e">
        <f aca="false">AK$6*(AK193+SUM(AK194)/2)*Bridge_Loan_Rate+(AK199=0)*AK193*Bridge_Loan_Rate</f>
        <v>#VALUE!</v>
      </c>
      <c r="AL195" s="122" t="e">
        <f aca="false">AL$6*(AL193+SUM(AL194)/2)*Bridge_Loan_Rate+(AL199=0)*AL193*Bridge_Loan_Rate</f>
        <v>#VALUE!</v>
      </c>
    </row>
    <row r="196" customFormat="false" ht="15" hidden="false" customHeight="false" outlineLevel="1" collapsed="false">
      <c r="A196" s="171"/>
      <c r="C196" s="165" t="s">
        <v>365</v>
      </c>
      <c r="D196" s="157"/>
      <c r="E196" s="104" t="s">
        <v>72</v>
      </c>
      <c r="G196" s="173"/>
      <c r="H196" s="174"/>
      <c r="I196" s="164" t="e">
        <f aca="false">-MAX(MIN((I191+I199),I193),0)</f>
        <v>#DIV/0!</v>
      </c>
      <c r="J196" s="164" t="e">
        <f aca="false">-MAX(MIN((J191+J199),J193),0)</f>
        <v>#DIV/0!</v>
      </c>
      <c r="K196" s="164" t="e">
        <f aca="false">-MAX(MIN((K191+K199),K193),0)</f>
        <v>#DIV/0!</v>
      </c>
      <c r="L196" s="164" t="e">
        <f aca="false">-MAX(MIN((L191+L199),L193),0)</f>
        <v>#DIV/0!</v>
      </c>
      <c r="M196" s="164" t="e">
        <f aca="false">-MAX(MIN((M191+M199),M193),0)</f>
        <v>#DIV/0!</v>
      </c>
      <c r="N196" s="164" t="e">
        <f aca="false">-MAX(MIN((N191+N199),N193),0)</f>
        <v>#DIV/0!</v>
      </c>
      <c r="O196" s="164" t="e">
        <f aca="false">-MAX(MIN((O191+O199),O193),0)</f>
        <v>#DIV/0!</v>
      </c>
      <c r="P196" s="164" t="e">
        <f aca="false">-MAX(MIN((P191+P199),P193),0)</f>
        <v>#DIV/0!</v>
      </c>
      <c r="Q196" s="164" t="e">
        <f aca="false">-MAX(MIN((Q191+Q199),Q193),0)</f>
        <v>#DIV/0!</v>
      </c>
      <c r="R196" s="164" t="e">
        <f aca="false">-MAX(MIN((R191+R199),R193),0)</f>
        <v>#DIV/0!</v>
      </c>
      <c r="S196" s="164" t="e">
        <f aca="false">-MAX(MIN((S191+S199),S193),0)</f>
        <v>#DIV/0!</v>
      </c>
      <c r="T196" s="164" t="e">
        <f aca="false">-MAX(MIN((T191+T199),T193),0)</f>
        <v>#DIV/0!</v>
      </c>
      <c r="U196" s="164" t="e">
        <f aca="false">-MAX(MIN((U191+U199),U193),0)</f>
        <v>#DIV/0!</v>
      </c>
      <c r="V196" s="164" t="e">
        <f aca="false">-MAX(MIN((V191+V199),V193),0)</f>
        <v>#DIV/0!</v>
      </c>
      <c r="W196" s="164" t="e">
        <f aca="false">-MAX(MIN((W191+W199),W193),0)</f>
        <v>#DIV/0!</v>
      </c>
      <c r="X196" s="164" t="e">
        <f aca="false">-MAX(MIN((X191+X199),X193),0)</f>
        <v>#DIV/0!</v>
      </c>
      <c r="Y196" s="164" t="e">
        <f aca="false">-MAX(MIN((Y191+Y199),Y193),0)</f>
        <v>#DIV/0!</v>
      </c>
      <c r="Z196" s="164" t="e">
        <f aca="false">-MAX(MIN((Z191+Z199),Z193),0)</f>
        <v>#DIV/0!</v>
      </c>
      <c r="AA196" s="164" t="e">
        <f aca="false">-MAX(MIN((AA191+AA199),AA193),0)</f>
        <v>#DIV/0!</v>
      </c>
      <c r="AB196" s="164" t="e">
        <f aca="false">-MAX(MIN((AB191+AB199),AB193),0)</f>
        <v>#DIV/0!</v>
      </c>
      <c r="AC196" s="164" t="e">
        <f aca="false">-MAX(MIN((AC191+AC199),AC193),0)</f>
        <v>#DIV/0!</v>
      </c>
      <c r="AD196" s="164" t="e">
        <f aca="false">-MAX(MIN((AD191+AD199),AD193),0)</f>
        <v>#DIV/0!</v>
      </c>
      <c r="AE196" s="164" t="e">
        <f aca="false">-MAX(MIN((AE191+AE199),AE193),0)</f>
        <v>#DIV/0!</v>
      </c>
      <c r="AF196" s="164" t="e">
        <f aca="false">-MAX(MIN((AF191+AF199),AF193),0)</f>
        <v>#DIV/0!</v>
      </c>
      <c r="AG196" s="164" t="e">
        <f aca="false">-MAX(MIN((AG191+AG199),AG193),0)</f>
        <v>#DIV/0!</v>
      </c>
      <c r="AH196" s="164" t="e">
        <f aca="false">-MAX(MIN((AH191+AH199),AH193),0)</f>
        <v>#DIV/0!</v>
      </c>
      <c r="AI196" s="164" t="e">
        <f aca="false">-MAX(MIN((AI191+AI199),AI193),0)</f>
        <v>#DIV/0!</v>
      </c>
      <c r="AJ196" s="164" t="e">
        <f aca="false">-MAX(MIN((AJ191+AJ199),AJ193),0)</f>
        <v>#DIV/0!</v>
      </c>
      <c r="AK196" s="164" t="e">
        <f aca="false">-MAX(MIN((AK191+AK199),AK193),0)</f>
        <v>#DIV/0!</v>
      </c>
      <c r="AL196" s="164" t="e">
        <f aca="false">-MAX(MIN((AL191+AL199),AL193),0)</f>
        <v>#DIV/0!</v>
      </c>
    </row>
    <row r="197" customFormat="false" ht="15" hidden="false" customHeight="false" outlineLevel="1" collapsed="false">
      <c r="A197" s="171"/>
      <c r="C197" s="166" t="s">
        <v>336</v>
      </c>
      <c r="D197" s="158"/>
      <c r="E197" s="118" t="s">
        <v>72</v>
      </c>
      <c r="F197" s="175"/>
      <c r="G197" s="177"/>
      <c r="H197" s="178"/>
      <c r="I197" s="167" t="e">
        <f aca="false">SUM(I193:I196)</f>
        <v>#VALUE!</v>
      </c>
      <c r="J197" s="167" t="e">
        <f aca="false">SUM(J193:J196)</f>
        <v>#VALUE!</v>
      </c>
      <c r="K197" s="167" t="e">
        <f aca="false">SUM(K193:K196)</f>
        <v>#VALUE!</v>
      </c>
      <c r="L197" s="167" t="e">
        <f aca="false">SUM(L193:L196)</f>
        <v>#VALUE!</v>
      </c>
      <c r="M197" s="167" t="e">
        <f aca="false">SUM(M193:M196)</f>
        <v>#VALUE!</v>
      </c>
      <c r="N197" s="167" t="e">
        <f aca="false">SUM(N193:N196)</f>
        <v>#VALUE!</v>
      </c>
      <c r="O197" s="167" t="e">
        <f aca="false">SUM(O193:O196)</f>
        <v>#VALUE!</v>
      </c>
      <c r="P197" s="167" t="e">
        <f aca="false">SUM(P193:P196)</f>
        <v>#VALUE!</v>
      </c>
      <c r="Q197" s="167" t="e">
        <f aca="false">SUM(Q193:Q196)</f>
        <v>#VALUE!</v>
      </c>
      <c r="R197" s="167" t="e">
        <f aca="false">SUM(R193:R196)</f>
        <v>#VALUE!</v>
      </c>
      <c r="S197" s="167" t="e">
        <f aca="false">SUM(S193:S196)</f>
        <v>#VALUE!</v>
      </c>
      <c r="T197" s="167" t="e">
        <f aca="false">SUM(T193:T196)</f>
        <v>#VALUE!</v>
      </c>
      <c r="U197" s="167" t="e">
        <f aca="false">SUM(U193:U196)</f>
        <v>#VALUE!</v>
      </c>
      <c r="V197" s="167" t="e">
        <f aca="false">SUM(V193:V196)</f>
        <v>#VALUE!</v>
      </c>
      <c r="W197" s="167" t="e">
        <f aca="false">SUM(W193:W196)</f>
        <v>#VALUE!</v>
      </c>
      <c r="X197" s="167" t="e">
        <f aca="false">SUM(X193:X196)</f>
        <v>#VALUE!</v>
      </c>
      <c r="Y197" s="167" t="e">
        <f aca="false">SUM(Y193:Y196)</f>
        <v>#VALUE!</v>
      </c>
      <c r="Z197" s="167" t="e">
        <f aca="false">SUM(Z193:Z196)</f>
        <v>#VALUE!</v>
      </c>
      <c r="AA197" s="167" t="e">
        <f aca="false">SUM(AA193:AA196)</f>
        <v>#VALUE!</v>
      </c>
      <c r="AB197" s="167" t="e">
        <f aca="false">SUM(AB193:AB196)</f>
        <v>#VALUE!</v>
      </c>
      <c r="AC197" s="167" t="e">
        <f aca="false">SUM(AC193:AC196)</f>
        <v>#VALUE!</v>
      </c>
      <c r="AD197" s="167" t="e">
        <f aca="false">SUM(AD193:AD196)</f>
        <v>#VALUE!</v>
      </c>
      <c r="AE197" s="167" t="e">
        <f aca="false">SUM(AE193:AE196)</f>
        <v>#VALUE!</v>
      </c>
      <c r="AF197" s="167" t="e">
        <f aca="false">SUM(AF193:AF196)</f>
        <v>#VALUE!</v>
      </c>
      <c r="AG197" s="167" t="e">
        <f aca="false">SUM(AG193:AG196)</f>
        <v>#VALUE!</v>
      </c>
      <c r="AH197" s="167" t="e">
        <f aca="false">SUM(AH193:AH196)</f>
        <v>#VALUE!</v>
      </c>
      <c r="AI197" s="167" t="e">
        <f aca="false">SUM(AI193:AI196)</f>
        <v>#VALUE!</v>
      </c>
      <c r="AJ197" s="167" t="e">
        <f aca="false">SUM(AJ193:AJ196)</f>
        <v>#VALUE!</v>
      </c>
      <c r="AK197" s="167" t="e">
        <f aca="false">SUM(AK193:AK196)</f>
        <v>#VALUE!</v>
      </c>
      <c r="AL197" s="167" t="e">
        <f aca="false">SUM(AL193:AL196)</f>
        <v>#VALUE!</v>
      </c>
    </row>
    <row r="198" customFormat="false" ht="15" hidden="false" customHeight="false" outlineLevel="1" collapsed="false">
      <c r="A198" s="171"/>
      <c r="E198" s="172"/>
      <c r="G198" s="173"/>
      <c r="H198" s="17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row>
    <row r="199" customFormat="false" ht="15" hidden="false" customHeight="false" outlineLevel="1" collapsed="false">
      <c r="A199" s="171"/>
      <c r="C199" s="171" t="s">
        <v>348</v>
      </c>
      <c r="E199" s="172" t="s">
        <v>72</v>
      </c>
      <c r="G199" s="173"/>
      <c r="H199" s="174"/>
      <c r="I199" s="164" t="e">
        <f aca="false">MAX(-I$7*I193*Bridge_Loan_Rate,-I191)</f>
        <v>#DIV/0!</v>
      </c>
      <c r="J199" s="164" t="e">
        <f aca="false">MAX(-J$7*J193*Bridge_Loan_Rate,-J191)</f>
        <v>#VALUE!</v>
      </c>
      <c r="K199" s="164" t="e">
        <f aca="false">MAX(-K$7*K193*Bridge_Loan_Rate,-K191)</f>
        <v>#VALUE!</v>
      </c>
      <c r="L199" s="164" t="e">
        <f aca="false">MAX(-L$7*L193*Bridge_Loan_Rate,-L191)</f>
        <v>#VALUE!</v>
      </c>
      <c r="M199" s="164" t="e">
        <f aca="false">MAX(-M$7*M193*Bridge_Loan_Rate,-M191)</f>
        <v>#VALUE!</v>
      </c>
      <c r="N199" s="164" t="e">
        <f aca="false">MAX(-N$7*N193*Bridge_Loan_Rate,-N191)</f>
        <v>#VALUE!</v>
      </c>
      <c r="O199" s="164" t="e">
        <f aca="false">MAX(-O$7*O193*Bridge_Loan_Rate,-O191)</f>
        <v>#VALUE!</v>
      </c>
      <c r="P199" s="164" t="e">
        <f aca="false">MAX(-P$7*P193*Bridge_Loan_Rate,-P191)</f>
        <v>#VALUE!</v>
      </c>
      <c r="Q199" s="164" t="e">
        <f aca="false">MAX(-Q$7*Q193*Bridge_Loan_Rate,-Q191)</f>
        <v>#VALUE!</v>
      </c>
      <c r="R199" s="164" t="e">
        <f aca="false">MAX(-R$7*R193*Bridge_Loan_Rate,-R191)</f>
        <v>#VALUE!</v>
      </c>
      <c r="S199" s="164" t="e">
        <f aca="false">MAX(-S$7*S193*Bridge_Loan_Rate,-S191)</f>
        <v>#VALUE!</v>
      </c>
      <c r="T199" s="164" t="e">
        <f aca="false">MAX(-T$7*T193*Bridge_Loan_Rate,-T191)</f>
        <v>#VALUE!</v>
      </c>
      <c r="U199" s="164" t="e">
        <f aca="false">MAX(-U$7*U193*Bridge_Loan_Rate,-U191)</f>
        <v>#VALUE!</v>
      </c>
      <c r="V199" s="164" t="e">
        <f aca="false">MAX(-V$7*V193*Bridge_Loan_Rate,-V191)</f>
        <v>#VALUE!</v>
      </c>
      <c r="W199" s="164" t="e">
        <f aca="false">MAX(-W$7*W193*Bridge_Loan_Rate,-W191)</f>
        <v>#VALUE!</v>
      </c>
      <c r="X199" s="164" t="e">
        <f aca="false">MAX(-X$7*X193*Bridge_Loan_Rate,-X191)</f>
        <v>#VALUE!</v>
      </c>
      <c r="Y199" s="164" t="e">
        <f aca="false">MAX(-Y$7*Y193*Bridge_Loan_Rate,-Y191)</f>
        <v>#VALUE!</v>
      </c>
      <c r="Z199" s="164" t="e">
        <f aca="false">MAX(-Z$7*Z193*Bridge_Loan_Rate,-Z191)</f>
        <v>#VALUE!</v>
      </c>
      <c r="AA199" s="164" t="e">
        <f aca="false">MAX(-AA$7*AA193*Bridge_Loan_Rate,-AA191)</f>
        <v>#VALUE!</v>
      </c>
      <c r="AB199" s="164" t="e">
        <f aca="false">MAX(-AB$7*AB193*Bridge_Loan_Rate,-AB191)</f>
        <v>#VALUE!</v>
      </c>
      <c r="AC199" s="164" t="e">
        <f aca="false">MAX(-AC$7*AC193*Bridge_Loan_Rate,-AC191)</f>
        <v>#VALUE!</v>
      </c>
      <c r="AD199" s="164" t="e">
        <f aca="false">MAX(-AD$7*AD193*Bridge_Loan_Rate,-AD191)</f>
        <v>#VALUE!</v>
      </c>
      <c r="AE199" s="164" t="e">
        <f aca="false">MAX(-AE$7*AE193*Bridge_Loan_Rate,-AE191)</f>
        <v>#VALUE!</v>
      </c>
      <c r="AF199" s="164" t="e">
        <f aca="false">MAX(-AF$7*AF193*Bridge_Loan_Rate,-AF191)</f>
        <v>#VALUE!</v>
      </c>
      <c r="AG199" s="164" t="e">
        <f aca="false">MAX(-AG$7*AG193*Bridge_Loan_Rate,-AG191)</f>
        <v>#VALUE!</v>
      </c>
      <c r="AH199" s="164" t="e">
        <f aca="false">MAX(-AH$7*AH193*Bridge_Loan_Rate,-AH191)</f>
        <v>#VALUE!</v>
      </c>
      <c r="AI199" s="164" t="e">
        <f aca="false">MAX(-AI$7*AI193*Bridge_Loan_Rate,-AI191)</f>
        <v>#VALUE!</v>
      </c>
      <c r="AJ199" s="164" t="e">
        <f aca="false">MAX(-AJ$7*AJ193*Bridge_Loan_Rate,-AJ191)</f>
        <v>#VALUE!</v>
      </c>
      <c r="AK199" s="164" t="e">
        <f aca="false">MAX(-AK$7*AK193*Bridge_Loan_Rate,-AK191)</f>
        <v>#VALUE!</v>
      </c>
      <c r="AL199" s="164" t="e">
        <f aca="false">MAX(-AL$7*AL193*Bridge_Loan_Rate,-AL191)</f>
        <v>#VALUE!</v>
      </c>
    </row>
    <row r="200" customFormat="false" ht="15" hidden="false" customHeight="false" outlineLevel="1" collapsed="false">
      <c r="A200" s="171"/>
      <c r="E200" s="172"/>
      <c r="G200" s="173"/>
      <c r="H200" s="17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row>
    <row r="201" s="30" customFormat="true" ht="16.9" hidden="false" customHeight="true" outlineLevel="0" collapsed="false">
      <c r="A201" s="30" t="n">
        <f aca="false">COUNT($A$6:A200)+1</f>
        <v>5</v>
      </c>
      <c r="C201" s="30" t="s">
        <v>370</v>
      </c>
      <c r="E201" s="31"/>
      <c r="H201" s="112"/>
    </row>
    <row r="202" customFormat="false" ht="15" hidden="false" customHeight="false" outlineLevel="0" collapsed="false">
      <c r="E202" s="0"/>
      <c r="H202" s="0"/>
    </row>
    <row r="203" customFormat="false" ht="15" hidden="false" customHeight="false" outlineLevel="0" collapsed="false">
      <c r="B203" s="2" t="e">
        <f aca="false">(MAX($A$7:B202)+0.1)</f>
        <v>#VALUE!</v>
      </c>
      <c r="C203" s="2" t="s">
        <v>371</v>
      </c>
      <c r="E203" s="0"/>
      <c r="H203" s="0"/>
    </row>
    <row r="204" customFormat="false" ht="15" hidden="false" customHeight="false" outlineLevel="0" collapsed="false">
      <c r="C204" s="0" t="s">
        <v>372</v>
      </c>
      <c r="E204" s="0"/>
      <c r="H204" s="0"/>
      <c r="AI204" s="111"/>
      <c r="AJ204" s="111"/>
      <c r="AK204" s="111"/>
    </row>
    <row r="205" customFormat="false" ht="15" hidden="false" customHeight="false" outlineLevel="0" collapsed="false">
      <c r="C205" s="0" t="s">
        <v>373</v>
      </c>
      <c r="E205" s="104" t="s">
        <v>72</v>
      </c>
      <c r="H205" s="0"/>
      <c r="I205" s="65" t="n">
        <f aca="false">H208</f>
        <v>0</v>
      </c>
      <c r="J205" s="65" t="n">
        <f aca="false">I208</f>
        <v>0</v>
      </c>
      <c r="K205" s="65" t="n">
        <f aca="false">J208</f>
        <v>-509284.272068314</v>
      </c>
      <c r="L205" s="65" t="n">
        <f aca="false">K208</f>
        <v>-506737.850707973</v>
      </c>
      <c r="M205" s="65" t="n">
        <f aca="false">L208</f>
        <v>-504204.161454433</v>
      </c>
      <c r="N205" s="65" t="n">
        <f aca="false">M208</f>
        <v>-500312.421683644</v>
      </c>
      <c r="O205" s="65" t="n">
        <f aca="false">N208</f>
        <v>-499174.724943925</v>
      </c>
      <c r="P205" s="65" t="n">
        <f aca="false">O208</f>
        <v>-496678.851319205</v>
      </c>
      <c r="Q205" s="65" t="n">
        <f aca="false">P208</f>
        <v>-494195.45706261</v>
      </c>
      <c r="R205" s="65" t="n">
        <f aca="false">Q208</f>
        <v>-490380.970269708</v>
      </c>
      <c r="S205" s="65" t="n">
        <f aca="false">R208</f>
        <v>-489265.85737841</v>
      </c>
      <c r="T205" s="65" t="n">
        <f aca="false">S208</f>
        <v>-486819.528091518</v>
      </c>
      <c r="U205" s="65" t="n">
        <f aca="false">T208</f>
        <v>-484385.430451061</v>
      </c>
      <c r="V205" s="65" t="n">
        <f aca="false">U208</f>
        <v>-480646.663125857</v>
      </c>
      <c r="W205" s="65" t="n">
        <f aca="false">V208</f>
        <v>-479553.685782311</v>
      </c>
      <c r="X205" s="65" t="n">
        <f aca="false">W208</f>
        <v>-477155.917353399</v>
      </c>
      <c r="Y205" s="65" t="n">
        <f aca="false">X208</f>
        <v>-474770.137766632</v>
      </c>
      <c r="Z205" s="65" t="n">
        <f aca="false">Y208</f>
        <v>-471105.586839882</v>
      </c>
      <c r="AA205" s="65" t="n">
        <f aca="false">Z208</f>
        <v>-470034.30564241</v>
      </c>
      <c r="AB205" s="65" t="n">
        <f aca="false">AA208</f>
        <v>-467684.134114198</v>
      </c>
      <c r="AC205" s="65" t="n">
        <f aca="false">AB208</f>
        <v>-465345.713443628</v>
      </c>
      <c r="AD205" s="65" t="n">
        <f aca="false">AC208</f>
        <v>-461753.905682758</v>
      </c>
      <c r="AE205" s="65" t="n">
        <f aca="false">AD208</f>
        <v>0</v>
      </c>
      <c r="AF205" s="65" t="n">
        <f aca="false">AE208</f>
        <v>0</v>
      </c>
      <c r="AG205" s="65" t="n">
        <f aca="false">AF208</f>
        <v>0</v>
      </c>
      <c r="AH205" s="65" t="n">
        <f aca="false">AG208</f>
        <v>0</v>
      </c>
      <c r="AI205" s="65" t="n">
        <f aca="false">AH208</f>
        <v>0</v>
      </c>
      <c r="AJ205" s="65" t="n">
        <f aca="false">AI208</f>
        <v>0</v>
      </c>
      <c r="AK205" s="65" t="n">
        <f aca="false">AJ208</f>
        <v>0</v>
      </c>
      <c r="AL205" s="65" t="n">
        <f aca="false">AK208</f>
        <v>0</v>
      </c>
    </row>
    <row r="206" customFormat="false" ht="15" hidden="false" customHeight="false" outlineLevel="0" collapsed="false">
      <c r="C206" s="0" t="s">
        <v>374</v>
      </c>
      <c r="E206" s="104" t="s">
        <v>72</v>
      </c>
      <c r="H206" s="0"/>
      <c r="I206" s="65" t="n">
        <f aca="false">-'Cash Flow'!I21</f>
        <v>0</v>
      </c>
      <c r="J206" s="65" t="n">
        <f aca="false">-'Cash Flow'!J21</f>
        <v>-4130861.31788744</v>
      </c>
      <c r="K206" s="65" t="n">
        <f aca="false">-'Cash Flow'!K21</f>
        <v>-4110207.011298</v>
      </c>
      <c r="L206" s="65" t="n">
        <f aca="false">-'Cash Flow'!L21</f>
        <v>-4089655.97624151</v>
      </c>
      <c r="M206" s="65" t="n">
        <f aca="false">-'Cash Flow'!M21</f>
        <v>-4069207.6963603</v>
      </c>
      <c r="N206" s="65" t="n">
        <f aca="false">-'Cash Flow'!N21</f>
        <v>-4048861.6578785</v>
      </c>
      <c r="O206" s="65" t="n">
        <f aca="false">-'Cash Flow'!O21</f>
        <v>-4028617.34958911</v>
      </c>
      <c r="P206" s="65" t="n">
        <f aca="false">-'Cash Flow'!P21</f>
        <v>-4008474.26284117</v>
      </c>
      <c r="Q206" s="65" t="n">
        <f aca="false">-'Cash Flow'!Q21</f>
        <v>-3988431.89152696</v>
      </c>
      <c r="R206" s="65" t="n">
        <f aca="false">-'Cash Flow'!R21</f>
        <v>-3968489.73206932</v>
      </c>
      <c r="S206" s="65" t="n">
        <f aca="false">-'Cash Flow'!S21</f>
        <v>-3948647.28340898</v>
      </c>
      <c r="T206" s="65" t="n">
        <f aca="false">-'Cash Flow'!T21</f>
        <v>-3928904.04699193</v>
      </c>
      <c r="U206" s="65" t="n">
        <f aca="false">-'Cash Flow'!U21</f>
        <v>-3909259.52675697</v>
      </c>
      <c r="V206" s="65" t="n">
        <f aca="false">-'Cash Flow'!V21</f>
        <v>-3889713.22912319</v>
      </c>
      <c r="W206" s="65" t="n">
        <f aca="false">-'Cash Flow'!W21</f>
        <v>-3870264.66297757</v>
      </c>
      <c r="X206" s="65" t="n">
        <f aca="false">-'Cash Flow'!X21</f>
        <v>-3850913.33966268</v>
      </c>
      <c r="Y206" s="65" t="n">
        <f aca="false">-'Cash Flow'!Y21</f>
        <v>-3831658.77296437</v>
      </c>
      <c r="Z206" s="65" t="n">
        <f aca="false">-'Cash Flow'!Z21</f>
        <v>-3812500.47909955</v>
      </c>
      <c r="AA206" s="65" t="n">
        <f aca="false">-'Cash Flow'!AA21</f>
        <v>-3793437.97670405</v>
      </c>
      <c r="AB206" s="65" t="n">
        <f aca="false">-'Cash Flow'!AB21</f>
        <v>-3774470.78682053</v>
      </c>
      <c r="AC206" s="65" t="n">
        <f aca="false">-'Cash Flow'!AC21</f>
        <v>-3755598.43288643</v>
      </c>
      <c r="AD206" s="65" t="n">
        <f aca="false">-'Cash Flow'!AD21</f>
        <v>0</v>
      </c>
      <c r="AE206" s="65" t="n">
        <f aca="false">-'Cash Flow'!AE21</f>
        <v>0</v>
      </c>
      <c r="AF206" s="65" t="n">
        <f aca="false">-'Cash Flow'!AF21</f>
        <v>0</v>
      </c>
      <c r="AG206" s="65" t="n">
        <f aca="false">-'Cash Flow'!AG21</f>
        <v>0</v>
      </c>
      <c r="AH206" s="65" t="n">
        <f aca="false">-'Cash Flow'!AH21</f>
        <v>0</v>
      </c>
      <c r="AI206" s="65" t="n">
        <f aca="false">-'Cash Flow'!AI21</f>
        <v>0</v>
      </c>
      <c r="AJ206" s="65" t="n">
        <f aca="false">-'Cash Flow'!AJ21</f>
        <v>0</v>
      </c>
      <c r="AK206" s="65" t="n">
        <f aca="false">-'Cash Flow'!AK21</f>
        <v>0</v>
      </c>
      <c r="AL206" s="65" t="n">
        <f aca="false">-'Cash Flow'!AL21</f>
        <v>0</v>
      </c>
    </row>
    <row r="207" customFormat="false" ht="15" hidden="false" customHeight="false" outlineLevel="0" collapsed="false">
      <c r="C207" s="0" t="s">
        <v>375</v>
      </c>
      <c r="E207" s="104" t="s">
        <v>72</v>
      </c>
      <c r="H207" s="0"/>
      <c r="I207" s="65" t="n">
        <f aca="false">-I205-I206*(I$4-Receivable_days)/I$4</f>
        <v>-0</v>
      </c>
      <c r="J207" s="65" t="n">
        <f aca="false">-J205-J206*(J$4-Receivable_days)/J$4</f>
        <v>3621577.04581912</v>
      </c>
      <c r="K207" s="65" t="n">
        <f aca="false">-K205-K206*(K$4-Receivable_days)/K$4</f>
        <v>4112753.43265834</v>
      </c>
      <c r="L207" s="65" t="n">
        <f aca="false">-L205-L206*(L$4-Receivable_days)/L$4</f>
        <v>4092189.66549505</v>
      </c>
      <c r="M207" s="65" t="n">
        <f aca="false">-M205-M206*(M$4-Receivable_days)/M$4</f>
        <v>4073099.43613109</v>
      </c>
      <c r="N207" s="65" t="n">
        <f aca="false">-N205-N206*(N$4-Receivable_days)/N$4</f>
        <v>4049999.35461822</v>
      </c>
      <c r="O207" s="65" t="n">
        <f aca="false">-O205-O206*(O$4-Receivable_days)/O$4</f>
        <v>4031113.22321383</v>
      </c>
      <c r="P207" s="65" t="n">
        <f aca="false">-P205-P206*(P$4-Receivable_days)/P$4</f>
        <v>4010957.65709776</v>
      </c>
      <c r="Q207" s="65" t="n">
        <f aca="false">-Q205-Q206*(Q$4-Receivable_days)/Q$4</f>
        <v>3992246.37831986</v>
      </c>
      <c r="R207" s="65" t="n">
        <f aca="false">-R205-R206*(R$4-Receivable_days)/R$4</f>
        <v>3969604.84496062</v>
      </c>
      <c r="S207" s="65" t="n">
        <f aca="false">-S205-S206*(S$4-Receivable_days)/S$4</f>
        <v>3951093.61269587</v>
      </c>
      <c r="T207" s="65" t="n">
        <f aca="false">-T205-T206*(T$4-Receivable_days)/T$4</f>
        <v>3931338.14463239</v>
      </c>
      <c r="U207" s="65" t="n">
        <f aca="false">-U205-U206*(U$4-Receivable_days)/U$4</f>
        <v>3912998.29408218</v>
      </c>
      <c r="V207" s="65" t="n">
        <f aca="false">-V205-V206*(V$4-Receivable_days)/V$4</f>
        <v>3890806.20646673</v>
      </c>
      <c r="W207" s="65" t="n">
        <f aca="false">-W205-W206*(W$4-Receivable_days)/W$4</f>
        <v>3872662.43140648</v>
      </c>
      <c r="X207" s="65" t="n">
        <f aca="false">-X205-X206*(X$4-Receivable_days)/X$4</f>
        <v>3853299.11924945</v>
      </c>
      <c r="Y207" s="65" t="n">
        <f aca="false">-Y205-Y206*(Y$4-Receivable_days)/Y$4</f>
        <v>3835323.32389112</v>
      </c>
      <c r="Z207" s="65" t="n">
        <f aca="false">-Z205-Z206*(Z$4-Receivable_days)/Z$4</f>
        <v>3813571.76029702</v>
      </c>
      <c r="AA207" s="65" t="n">
        <f aca="false">-AA205-AA206*(AA$4-Receivable_days)/AA$4</f>
        <v>3795788.14823226</v>
      </c>
      <c r="AB207" s="65" t="n">
        <f aca="false">-AB205-AB206*(AB$4-Receivable_days)/AB$4</f>
        <v>3776809.2074911</v>
      </c>
      <c r="AC207" s="65" t="n">
        <f aca="false">-AC205-AC206*(AC$4-Receivable_days)/AC$4</f>
        <v>3759190.2406473</v>
      </c>
      <c r="AD207" s="65" t="n">
        <f aca="false">-AD205-AD206*(AD$4-Receivable_days)/AD$4</f>
        <v>461753.905682758</v>
      </c>
      <c r="AE207" s="65" t="n">
        <f aca="false">-AE205-AE206*(AE$4-Receivable_days)/AE$4</f>
        <v>-0</v>
      </c>
      <c r="AF207" s="65" t="n">
        <f aca="false">-AF205-AF206*(AF$4-Receivable_days)/AF$4</f>
        <v>-0</v>
      </c>
      <c r="AG207" s="65" t="n">
        <f aca="false">-AG205-AG206*(AG$4-Receivable_days)/AG$4</f>
        <v>-0</v>
      </c>
      <c r="AH207" s="65" t="n">
        <f aca="false">-AH205-AH206*(AH$4-Receivable_days)/AH$4</f>
        <v>-0</v>
      </c>
      <c r="AI207" s="65" t="n">
        <f aca="false">-AI205-AI206*(AI$4-Receivable_days)/AI$4</f>
        <v>-0</v>
      </c>
      <c r="AJ207" s="65" t="n">
        <f aca="false">-AJ205-AJ206*(AJ$4-Receivable_days)/AJ$4</f>
        <v>-0</v>
      </c>
      <c r="AK207" s="65" t="n">
        <f aca="false">-AK205-AK206*(AK$4-Receivable_days)/AK$4</f>
        <v>-0</v>
      </c>
      <c r="AL207" s="65" t="n">
        <f aca="false">-AL205-AL206*(AL$4-Receivable_days)/AL$4</f>
        <v>-0</v>
      </c>
    </row>
    <row r="208" customFormat="false" ht="15" hidden="false" customHeight="false" outlineLevel="0" collapsed="false">
      <c r="C208" s="117" t="s">
        <v>376</v>
      </c>
      <c r="D208" s="117"/>
      <c r="E208" s="118" t="s">
        <v>72</v>
      </c>
      <c r="F208" s="117"/>
      <c r="G208" s="117"/>
      <c r="H208" s="119"/>
      <c r="I208" s="124" t="n">
        <f aca="false">SUM(I205:I207)</f>
        <v>0</v>
      </c>
      <c r="J208" s="124" t="n">
        <f aca="false">SUM(J205:J207)</f>
        <v>-509284.272068314</v>
      </c>
      <c r="K208" s="124" t="n">
        <f aca="false">SUM(K205:K207)</f>
        <v>-506737.850707973</v>
      </c>
      <c r="L208" s="124" t="n">
        <f aca="false">SUM(L205:L207)</f>
        <v>-504204.161454433</v>
      </c>
      <c r="M208" s="124" t="n">
        <f aca="false">SUM(M205:M207)</f>
        <v>-500312.421683644</v>
      </c>
      <c r="N208" s="124" t="n">
        <f aca="false">SUM(N205:N207)</f>
        <v>-499174.724943925</v>
      </c>
      <c r="O208" s="124" t="n">
        <f aca="false">SUM(O205:O207)</f>
        <v>-496678.851319205</v>
      </c>
      <c r="P208" s="124" t="n">
        <f aca="false">SUM(P205:P207)</f>
        <v>-494195.45706261</v>
      </c>
      <c r="Q208" s="124" t="n">
        <f aca="false">SUM(Q205:Q207)</f>
        <v>-490380.970269708</v>
      </c>
      <c r="R208" s="124" t="n">
        <f aca="false">SUM(R205:R207)</f>
        <v>-489265.85737841</v>
      </c>
      <c r="S208" s="124" t="n">
        <f aca="false">SUM(S205:S207)</f>
        <v>-486819.528091518</v>
      </c>
      <c r="T208" s="124" t="n">
        <f aca="false">SUM(T205:T207)</f>
        <v>-484385.430451061</v>
      </c>
      <c r="U208" s="124" t="n">
        <f aca="false">SUM(U205:U207)</f>
        <v>-480646.663125857</v>
      </c>
      <c r="V208" s="124" t="n">
        <f aca="false">SUM(V205:V207)</f>
        <v>-479553.685782311</v>
      </c>
      <c r="W208" s="124" t="n">
        <f aca="false">SUM(W205:W207)</f>
        <v>-477155.917353399</v>
      </c>
      <c r="X208" s="124" t="n">
        <f aca="false">SUM(X205:X207)</f>
        <v>-474770.137766632</v>
      </c>
      <c r="Y208" s="124" t="n">
        <f aca="false">SUM(Y205:Y207)</f>
        <v>-471105.586839882</v>
      </c>
      <c r="Z208" s="124" t="n">
        <f aca="false">SUM(Z205:Z207)</f>
        <v>-470034.30564241</v>
      </c>
      <c r="AA208" s="124" t="n">
        <f aca="false">SUM(AA205:AA207)</f>
        <v>-467684.134114198</v>
      </c>
      <c r="AB208" s="124" t="n">
        <f aca="false">SUM(AB205:AB207)</f>
        <v>-465345.713443628</v>
      </c>
      <c r="AC208" s="124" t="n">
        <f aca="false">SUM(AC205:AC207)</f>
        <v>-461753.905682758</v>
      </c>
      <c r="AD208" s="124" t="n">
        <f aca="false">SUM(AD205:AD207)</f>
        <v>0</v>
      </c>
      <c r="AE208" s="124" t="n">
        <f aca="false">SUM(AE205:AE207)</f>
        <v>0</v>
      </c>
      <c r="AF208" s="124" t="n">
        <f aca="false">SUM(AF205:AF207)</f>
        <v>0</v>
      </c>
      <c r="AG208" s="124" t="n">
        <f aca="false">SUM(AG205:AG207)</f>
        <v>0</v>
      </c>
      <c r="AH208" s="124" t="n">
        <f aca="false">SUM(AH205:AH207)</f>
        <v>0</v>
      </c>
      <c r="AI208" s="124" t="n">
        <f aca="false">SUM(AI205:AI207)</f>
        <v>0</v>
      </c>
      <c r="AJ208" s="124" t="n">
        <f aca="false">SUM(AJ205:AJ207)</f>
        <v>0</v>
      </c>
      <c r="AK208" s="124" t="n">
        <f aca="false">SUM(AK205:AK207)</f>
        <v>0</v>
      </c>
      <c r="AL208" s="124" t="n">
        <f aca="false">SUM(AL205:AL207)</f>
        <v>0</v>
      </c>
    </row>
    <row r="209" customFormat="false" ht="15" hidden="false" customHeight="false" outlineLevel="0" collapsed="false">
      <c r="E209" s="0"/>
      <c r="H209" s="0"/>
      <c r="AI209" s="111"/>
      <c r="AJ209" s="111"/>
      <c r="AK209" s="111"/>
    </row>
    <row r="210" customFormat="false" ht="15" hidden="false" customHeight="false" outlineLevel="0" collapsed="false">
      <c r="C210" s="0" t="s">
        <v>377</v>
      </c>
      <c r="E210" s="0"/>
      <c r="H210" s="0"/>
      <c r="AI210" s="111"/>
      <c r="AJ210" s="111"/>
      <c r="AK210" s="111"/>
    </row>
    <row r="211" customFormat="false" ht="15" hidden="false" customHeight="false" outlineLevel="0" collapsed="false">
      <c r="C211" s="0" t="s">
        <v>373</v>
      </c>
      <c r="E211" s="104" t="s">
        <v>72</v>
      </c>
      <c r="H211" s="0"/>
      <c r="I211" s="65" t="n">
        <f aca="false">H214</f>
        <v>0</v>
      </c>
      <c r="J211" s="65" t="n">
        <f aca="false">I214</f>
        <v>0</v>
      </c>
      <c r="K211" s="65" t="n">
        <f aca="false">J214</f>
        <v>-17778.0821917808</v>
      </c>
      <c r="L211" s="65" t="n">
        <f aca="false">K214</f>
        <v>-18311.4246575343</v>
      </c>
      <c r="M211" s="65" t="n">
        <f aca="false">L214</f>
        <v>-18860.7673972603</v>
      </c>
      <c r="N211" s="65" t="n">
        <f aca="false">M214</f>
        <v>-19373.5123032787</v>
      </c>
      <c r="O211" s="65" t="n">
        <f aca="false">N214</f>
        <v>-20009.3881317534</v>
      </c>
      <c r="P211" s="65" t="n">
        <f aca="false">O214</f>
        <v>-20609.669775706</v>
      </c>
      <c r="Q211" s="65" t="n">
        <f aca="false">P214</f>
        <v>-21227.9598689772</v>
      </c>
      <c r="R211" s="65" t="n">
        <f aca="false">Q214</f>
        <v>-21805.0587779835</v>
      </c>
      <c r="S211" s="65" t="n">
        <f aca="false">R214</f>
        <v>-22520.7426249979</v>
      </c>
      <c r="T211" s="65" t="n">
        <f aca="false">S214</f>
        <v>-23196.3649037479</v>
      </c>
      <c r="U211" s="65" t="n">
        <f aca="false">T214</f>
        <v>-23892.2558508603</v>
      </c>
      <c r="V211" s="65" t="n">
        <f aca="false">U214</f>
        <v>-24541.7857571883</v>
      </c>
      <c r="W211" s="65" t="n">
        <f aca="false">V214</f>
        <v>-25347.2942321777</v>
      </c>
      <c r="X211" s="65" t="n">
        <f aca="false">W214</f>
        <v>-26107.713059143</v>
      </c>
      <c r="Y211" s="65" t="n">
        <f aca="false">X214</f>
        <v>-26890.9444509173</v>
      </c>
      <c r="Z211" s="65" t="n">
        <f aca="false">Y214</f>
        <v>-27621.996082848</v>
      </c>
      <c r="AA211" s="65" t="n">
        <f aca="false">Z214</f>
        <v>-28528.6029679782</v>
      </c>
      <c r="AB211" s="65" t="n">
        <f aca="false">AA214</f>
        <v>-29384.4610570175</v>
      </c>
      <c r="AC211" s="65" t="n">
        <f aca="false">AB214</f>
        <v>-30265.994888728</v>
      </c>
      <c r="AD211" s="65" t="n">
        <f aca="false">AC214</f>
        <v>-31088.7999410309</v>
      </c>
      <c r="AE211" s="65" t="n">
        <f aca="false">AD214</f>
        <v>0</v>
      </c>
      <c r="AF211" s="65" t="n">
        <f aca="false">AE214</f>
        <v>0</v>
      </c>
      <c r="AG211" s="65" t="n">
        <f aca="false">AF214</f>
        <v>0</v>
      </c>
      <c r="AH211" s="65" t="n">
        <f aca="false">AG214</f>
        <v>0</v>
      </c>
      <c r="AI211" s="65" t="n">
        <f aca="false">AH214</f>
        <v>0</v>
      </c>
      <c r="AJ211" s="65" t="n">
        <f aca="false">AI214</f>
        <v>0</v>
      </c>
      <c r="AK211" s="65" t="n">
        <f aca="false">AJ214</f>
        <v>0</v>
      </c>
      <c r="AL211" s="65" t="n">
        <f aca="false">AK214</f>
        <v>0</v>
      </c>
    </row>
    <row r="212" customFormat="false" ht="15" hidden="false" customHeight="false" outlineLevel="0" collapsed="false">
      <c r="C212" s="0" t="s">
        <v>378</v>
      </c>
      <c r="E212" s="104" t="s">
        <v>72</v>
      </c>
      <c r="H212" s="0"/>
      <c r="I212" s="65" t="n">
        <f aca="false">'Cash Flow'!I23</f>
        <v>0</v>
      </c>
      <c r="J212" s="65" t="n">
        <f aca="false">'Cash Flow'!J23</f>
        <v>-216300</v>
      </c>
      <c r="K212" s="65" t="n">
        <f aca="false">'Cash Flow'!K23</f>
        <v>-222789</v>
      </c>
      <c r="L212" s="65" t="n">
        <f aca="false">'Cash Flow'!L23</f>
        <v>-229472.67</v>
      </c>
      <c r="M212" s="65" t="n">
        <f aca="false">'Cash Flow'!M23</f>
        <v>-236356.8501</v>
      </c>
      <c r="N212" s="65" t="n">
        <f aca="false">'Cash Flow'!N23</f>
        <v>-243447.555603</v>
      </c>
      <c r="O212" s="65" t="n">
        <f aca="false">'Cash Flow'!O23</f>
        <v>-250750.98227109</v>
      </c>
      <c r="P212" s="65" t="n">
        <f aca="false">'Cash Flow'!P23</f>
        <v>-258273.511739223</v>
      </c>
      <c r="Q212" s="65" t="n">
        <f aca="false">'Cash Flow'!Q23</f>
        <v>-266021.717091399</v>
      </c>
      <c r="R212" s="65" t="n">
        <f aca="false">'Cash Flow'!R23</f>
        <v>-274002.368604141</v>
      </c>
      <c r="S212" s="65" t="n">
        <f aca="false">'Cash Flow'!S23</f>
        <v>-282222.439662266</v>
      </c>
      <c r="T212" s="65" t="n">
        <f aca="false">'Cash Flow'!T23</f>
        <v>-290689.112852134</v>
      </c>
      <c r="U212" s="65" t="n">
        <f aca="false">'Cash Flow'!U23</f>
        <v>-299409.786237698</v>
      </c>
      <c r="V212" s="65" t="n">
        <f aca="false">'Cash Flow'!V23</f>
        <v>-308392.079824828</v>
      </c>
      <c r="W212" s="65" t="n">
        <f aca="false">'Cash Flow'!W23</f>
        <v>-317643.842219573</v>
      </c>
      <c r="X212" s="65" t="n">
        <f aca="false">'Cash Flow'!X23</f>
        <v>-327173.157486161</v>
      </c>
      <c r="Y212" s="65" t="n">
        <f aca="false">'Cash Flow'!Y23</f>
        <v>-336988.352210745</v>
      </c>
      <c r="Z212" s="65" t="n">
        <f aca="false">'Cash Flow'!Z23</f>
        <v>-347098.002777068</v>
      </c>
      <c r="AA212" s="65" t="n">
        <f aca="false">'Cash Flow'!AA23</f>
        <v>-357510.94286038</v>
      </c>
      <c r="AB212" s="65" t="n">
        <f aca="false">'Cash Flow'!AB23</f>
        <v>-368236.271146191</v>
      </c>
      <c r="AC212" s="65" t="n">
        <f aca="false">'Cash Flow'!AC23</f>
        <v>-379283.359280577</v>
      </c>
      <c r="AD212" s="65" t="n">
        <f aca="false">'Cash Flow'!AD23</f>
        <v>0</v>
      </c>
      <c r="AE212" s="65" t="n">
        <f aca="false">'Cash Flow'!AE23</f>
        <v>0</v>
      </c>
      <c r="AF212" s="65" t="n">
        <f aca="false">'Cash Flow'!AF23</f>
        <v>0</v>
      </c>
      <c r="AG212" s="65" t="n">
        <f aca="false">'Cash Flow'!AG23</f>
        <v>0</v>
      </c>
      <c r="AH212" s="65" t="n">
        <f aca="false">'Cash Flow'!AH23</f>
        <v>0</v>
      </c>
      <c r="AI212" s="65" t="n">
        <f aca="false">'Cash Flow'!AI23</f>
        <v>0</v>
      </c>
      <c r="AJ212" s="65" t="n">
        <f aca="false">'Cash Flow'!AJ23</f>
        <v>0</v>
      </c>
      <c r="AK212" s="65" t="n">
        <f aca="false">'Cash Flow'!AK23</f>
        <v>0</v>
      </c>
      <c r="AL212" s="65" t="n">
        <f aca="false">'Cash Flow'!AL23</f>
        <v>0</v>
      </c>
    </row>
    <row r="213" customFormat="false" ht="15" hidden="false" customHeight="false" outlineLevel="0" collapsed="false">
      <c r="C213" s="0" t="s">
        <v>379</v>
      </c>
      <c r="E213" s="104" t="s">
        <v>72</v>
      </c>
      <c r="H213" s="0"/>
      <c r="I213" s="65" t="n">
        <f aca="false">-I211-I212*(I$4-Payable_days)/I$4</f>
        <v>-0</v>
      </c>
      <c r="J213" s="65" t="n">
        <f aca="false">-J211-J212*(J$4-Payable_days)/J$4</f>
        <v>198521.917808219</v>
      </c>
      <c r="K213" s="65" t="n">
        <f aca="false">-K211-K212*(K$4-Payable_days)/K$4</f>
        <v>222255.657534247</v>
      </c>
      <c r="L213" s="65" t="n">
        <f aca="false">-L211-L212*(L$4-Payable_days)/L$4</f>
        <v>228923.327260274</v>
      </c>
      <c r="M213" s="65" t="n">
        <f aca="false">-M211-M212*(M$4-Payable_days)/M$4</f>
        <v>235844.105193982</v>
      </c>
      <c r="N213" s="65" t="n">
        <f aca="false">-N211-N212*(N$4-Payable_days)/N$4</f>
        <v>242811.679774525</v>
      </c>
      <c r="O213" s="65" t="n">
        <f aca="false">-O211-O212*(O$4-Payable_days)/O$4</f>
        <v>250150.700627137</v>
      </c>
      <c r="P213" s="65" t="n">
        <f aca="false">-P211-P212*(P$4-Payable_days)/P$4</f>
        <v>257655.221645952</v>
      </c>
      <c r="Q213" s="65" t="n">
        <f aca="false">-Q211-Q212*(Q$4-Payable_days)/Q$4</f>
        <v>265444.618182393</v>
      </c>
      <c r="R213" s="65" t="n">
        <f aca="false">-R211-R212*(R$4-Payable_days)/R$4</f>
        <v>273286.684757127</v>
      </c>
      <c r="S213" s="65" t="n">
        <f aca="false">-S211-S212*(S$4-Payable_days)/S$4</f>
        <v>281546.817383516</v>
      </c>
      <c r="T213" s="65" t="n">
        <f aca="false">-T211-T212*(T$4-Payable_days)/T$4</f>
        <v>289993.221905021</v>
      </c>
      <c r="U213" s="65" t="n">
        <f aca="false">-U211-U212*(U$4-Payable_days)/U$4</f>
        <v>298760.25633137</v>
      </c>
      <c r="V213" s="65" t="n">
        <f aca="false">-V211-V212*(V$4-Payable_days)/V$4</f>
        <v>307586.571349839</v>
      </c>
      <c r="W213" s="65" t="n">
        <f aca="false">-W211-W212*(W$4-Payable_days)/W$4</f>
        <v>316883.423392608</v>
      </c>
      <c r="X213" s="65" t="n">
        <f aca="false">-X211-X212*(X$4-Payable_days)/X$4</f>
        <v>326389.926094386</v>
      </c>
      <c r="Y213" s="65" t="n">
        <f aca="false">-Y211-Y212*(Y$4-Payable_days)/Y$4</f>
        <v>336257.300578815</v>
      </c>
      <c r="Z213" s="65" t="n">
        <f aca="false">-Z211-Z212*(Z$4-Payable_days)/Z$4</f>
        <v>346191.395891937</v>
      </c>
      <c r="AA213" s="65" t="n">
        <f aca="false">-AA211-AA212*(AA$4-Payable_days)/AA$4</f>
        <v>356655.08477134</v>
      </c>
      <c r="AB213" s="65" t="n">
        <f aca="false">-AB211-AB212*(AB$4-Payable_days)/AB$4</f>
        <v>367354.737314481</v>
      </c>
      <c r="AC213" s="65" t="n">
        <f aca="false">-AC211-AC212*(AC$4-Payable_days)/AC$4</f>
        <v>378460.554228274</v>
      </c>
      <c r="AD213" s="65" t="n">
        <f aca="false">-AD211-AD212*(AD$4-Payable_days)/AD$4</f>
        <v>31088.7999410309</v>
      </c>
      <c r="AE213" s="65" t="n">
        <f aca="false">-AE211-AE212*(AE$4-Payable_days)/AE$4</f>
        <v>-0</v>
      </c>
      <c r="AF213" s="65" t="n">
        <f aca="false">-AF211-AF212*(AF$4-Payable_days)/AF$4</f>
        <v>-0</v>
      </c>
      <c r="AG213" s="65" t="n">
        <f aca="false">-AG211-AG212*(AG$4-Payable_days)/AG$4</f>
        <v>-0</v>
      </c>
      <c r="AH213" s="65" t="n">
        <f aca="false">-AH211-AH212*(AH$4-Payable_days)/AH$4</f>
        <v>-0</v>
      </c>
      <c r="AI213" s="65" t="n">
        <f aca="false">-AI211-AI212*(AI$4-Payable_days)/AI$4</f>
        <v>-0</v>
      </c>
      <c r="AJ213" s="65" t="n">
        <f aca="false">-AJ211-AJ212*(AJ$4-Payable_days)/AJ$4</f>
        <v>-0</v>
      </c>
      <c r="AK213" s="65" t="n">
        <f aca="false">-AK211-AK212*(AK$4-Payable_days)/AK$4</f>
        <v>-0</v>
      </c>
      <c r="AL213" s="65" t="n">
        <f aca="false">-AL211-AL212*(AL$4-Payable_days)/AL$4</f>
        <v>-0</v>
      </c>
    </row>
    <row r="214" customFormat="false" ht="15" hidden="false" customHeight="false" outlineLevel="0" collapsed="false">
      <c r="C214" s="117" t="s">
        <v>376</v>
      </c>
      <c r="D214" s="117"/>
      <c r="E214" s="118" t="s">
        <v>72</v>
      </c>
      <c r="F214" s="117"/>
      <c r="G214" s="117"/>
      <c r="H214" s="119"/>
      <c r="I214" s="124" t="n">
        <f aca="false">SUM(I211:I213)</f>
        <v>0</v>
      </c>
      <c r="J214" s="124" t="n">
        <f aca="false">SUM(J211:J213)</f>
        <v>-17778.0821917808</v>
      </c>
      <c r="K214" s="124" t="n">
        <f aca="false">SUM(K211:K213)</f>
        <v>-18311.4246575343</v>
      </c>
      <c r="L214" s="124" t="n">
        <f aca="false">SUM(L211:L213)</f>
        <v>-18860.7673972603</v>
      </c>
      <c r="M214" s="124" t="n">
        <f aca="false">SUM(M211:M213)</f>
        <v>-19373.5123032787</v>
      </c>
      <c r="N214" s="124" t="n">
        <f aca="false">SUM(N211:N213)</f>
        <v>-20009.3881317534</v>
      </c>
      <c r="O214" s="124" t="n">
        <f aca="false">SUM(O211:O213)</f>
        <v>-20609.669775706</v>
      </c>
      <c r="P214" s="124" t="n">
        <f aca="false">SUM(P211:P213)</f>
        <v>-21227.9598689772</v>
      </c>
      <c r="Q214" s="124" t="n">
        <f aca="false">SUM(Q211:Q213)</f>
        <v>-21805.0587779835</v>
      </c>
      <c r="R214" s="124" t="n">
        <f aca="false">SUM(R211:R213)</f>
        <v>-22520.7426249979</v>
      </c>
      <c r="S214" s="124" t="n">
        <f aca="false">SUM(S211:S213)</f>
        <v>-23196.3649037479</v>
      </c>
      <c r="T214" s="124" t="n">
        <f aca="false">SUM(T211:T213)</f>
        <v>-23892.2558508603</v>
      </c>
      <c r="U214" s="124" t="n">
        <f aca="false">SUM(U211:U213)</f>
        <v>-24541.7857571883</v>
      </c>
      <c r="V214" s="124" t="n">
        <f aca="false">SUM(V211:V213)</f>
        <v>-25347.2942321777</v>
      </c>
      <c r="W214" s="124" t="n">
        <f aca="false">SUM(W211:W213)</f>
        <v>-26107.713059143</v>
      </c>
      <c r="X214" s="124" t="n">
        <f aca="false">SUM(X211:X213)</f>
        <v>-26890.9444509173</v>
      </c>
      <c r="Y214" s="124" t="n">
        <f aca="false">SUM(Y211:Y213)</f>
        <v>-27621.996082848</v>
      </c>
      <c r="Z214" s="124" t="n">
        <f aca="false">SUM(Z211:Z213)</f>
        <v>-28528.6029679782</v>
      </c>
      <c r="AA214" s="124" t="n">
        <f aca="false">SUM(AA211:AA213)</f>
        <v>-29384.4610570175</v>
      </c>
      <c r="AB214" s="124" t="n">
        <f aca="false">SUM(AB211:AB213)</f>
        <v>-30265.994888728</v>
      </c>
      <c r="AC214" s="124" t="n">
        <f aca="false">SUM(AC211:AC213)</f>
        <v>-31088.7999410309</v>
      </c>
      <c r="AD214" s="124" t="n">
        <f aca="false">SUM(AD211:AD213)</f>
        <v>0</v>
      </c>
      <c r="AE214" s="124" t="n">
        <f aca="false">SUM(AE211:AE213)</f>
        <v>0</v>
      </c>
      <c r="AF214" s="124" t="n">
        <f aca="false">SUM(AF211:AF213)</f>
        <v>0</v>
      </c>
      <c r="AG214" s="124" t="n">
        <f aca="false">SUM(AG211:AG213)</f>
        <v>0</v>
      </c>
      <c r="AH214" s="124" t="n">
        <f aca="false">SUM(AH211:AH213)</f>
        <v>0</v>
      </c>
      <c r="AI214" s="124" t="n">
        <f aca="false">SUM(AI211:AI213)</f>
        <v>0</v>
      </c>
      <c r="AJ214" s="124" t="n">
        <f aca="false">SUM(AJ211:AJ213)</f>
        <v>0</v>
      </c>
      <c r="AK214" s="124" t="n">
        <f aca="false">SUM(AK211:AK213)</f>
        <v>0</v>
      </c>
      <c r="AL214" s="124" t="n">
        <f aca="false">SUM(AL211:AL213)</f>
        <v>0</v>
      </c>
    </row>
    <row r="215" customFormat="false" ht="15" hidden="false" customHeight="false" outlineLevel="0" collapsed="false">
      <c r="E215" s="0"/>
      <c r="H215" s="0"/>
      <c r="AI215" s="111"/>
      <c r="AJ215" s="111"/>
      <c r="AK215" s="111"/>
    </row>
    <row r="216" customFormat="false" ht="15" hidden="false" customHeight="false" outlineLevel="0" collapsed="false">
      <c r="C216" s="0" t="s">
        <v>380</v>
      </c>
      <c r="E216" s="104" t="s">
        <v>72</v>
      </c>
      <c r="H216" s="0"/>
      <c r="I216" s="65" t="n">
        <f aca="false">I9*Receivable_days/I$4*-J206</f>
        <v>509284.272068314</v>
      </c>
      <c r="J216" s="65" t="n">
        <f aca="false">J9*Receivable_days/J$4*-K206</f>
        <v>0</v>
      </c>
      <c r="K216" s="65" t="n">
        <f aca="false">K9*Receivable_days/K$4*-L206</f>
        <v>0</v>
      </c>
      <c r="L216" s="65" t="n">
        <f aca="false">L9*Receivable_days/L$4*-M206</f>
        <v>0</v>
      </c>
      <c r="M216" s="65" t="n">
        <f aca="false">M9*Receivable_days/M$4*-N206</f>
        <v>0</v>
      </c>
      <c r="N216" s="65" t="n">
        <f aca="false">N9*Receivable_days/N$4*-O206</f>
        <v>0</v>
      </c>
      <c r="O216" s="65" t="n">
        <f aca="false">O9*Receivable_days/O$4*-P206</f>
        <v>0</v>
      </c>
      <c r="P216" s="65" t="n">
        <f aca="false">P9*Receivable_days/P$4*-Q206</f>
        <v>0</v>
      </c>
      <c r="Q216" s="65" t="n">
        <f aca="false">Q9*Receivable_days/Q$4*-R206</f>
        <v>0</v>
      </c>
      <c r="R216" s="65" t="n">
        <f aca="false">R9*Receivable_days/R$4*-S206</f>
        <v>0</v>
      </c>
      <c r="S216" s="65" t="n">
        <f aca="false">S9*Receivable_days/S$4*-T206</f>
        <v>0</v>
      </c>
      <c r="T216" s="65" t="n">
        <f aca="false">T9*Receivable_days/T$4*-U206</f>
        <v>0</v>
      </c>
      <c r="U216" s="65" t="n">
        <f aca="false">U9*Receivable_days/U$4*-V206</f>
        <v>0</v>
      </c>
      <c r="V216" s="65" t="n">
        <f aca="false">V9*Receivable_days/V$4*-W206</f>
        <v>0</v>
      </c>
      <c r="W216" s="65" t="n">
        <f aca="false">W9*Receivable_days/W$4*-X206</f>
        <v>0</v>
      </c>
      <c r="X216" s="65" t="n">
        <f aca="false">X9*Receivable_days/X$4*-Y206</f>
        <v>0</v>
      </c>
      <c r="Y216" s="65" t="n">
        <f aca="false">Y9*Receivable_days/Y$4*-Z206</f>
        <v>0</v>
      </c>
      <c r="Z216" s="65" t="n">
        <f aca="false">Z9*Receivable_days/Z$4*-AA206</f>
        <v>0</v>
      </c>
      <c r="AA216" s="65" t="n">
        <f aca="false">AA9*Receivable_days/AA$4*-AB206</f>
        <v>0</v>
      </c>
      <c r="AB216" s="65" t="n">
        <f aca="false">AB9*Receivable_days/AB$4*-AC206</f>
        <v>0</v>
      </c>
      <c r="AC216" s="65" t="n">
        <f aca="false">AC9*Receivable_days/AC$4*-AD206</f>
        <v>-0</v>
      </c>
      <c r="AD216" s="65" t="n">
        <f aca="false">AD9*Receivable_days/AD$4*-AE206</f>
        <v>-0</v>
      </c>
      <c r="AE216" s="65" t="n">
        <f aca="false">AE9*Receivable_days/AE$4*-AF206</f>
        <v>-0</v>
      </c>
      <c r="AF216" s="65" t="n">
        <f aca="false">AF9*Receivable_days/AF$4*-AG206</f>
        <v>-0</v>
      </c>
      <c r="AG216" s="65" t="n">
        <f aca="false">AG9*Receivable_days/AG$4*-AH206</f>
        <v>-0</v>
      </c>
      <c r="AH216" s="65" t="n">
        <f aca="false">AH9*Receivable_days/AH$4*-AI206</f>
        <v>-0</v>
      </c>
      <c r="AI216" s="65" t="n">
        <f aca="false">AI9*Receivable_days/AI$4*-AJ206</f>
        <v>-0</v>
      </c>
      <c r="AJ216" s="65" t="n">
        <f aca="false">AJ9*Receivable_days/AJ$4*-AK206</f>
        <v>-0</v>
      </c>
      <c r="AK216" s="65" t="n">
        <f aca="false">AK9*Receivable_days/AK$4*-AL206</f>
        <v>-0</v>
      </c>
      <c r="AL216" s="65" t="n">
        <f aca="false">AL9*Receivable_days/AL$4*-AM206</f>
        <v>-0</v>
      </c>
    </row>
    <row r="217" customFormat="false" ht="15" hidden="false" customHeight="false" outlineLevel="0" collapsed="false">
      <c r="C217" s="0" t="s">
        <v>381</v>
      </c>
      <c r="E217" s="104" t="s">
        <v>72</v>
      </c>
      <c r="H217" s="0"/>
      <c r="I217" s="65" t="n">
        <f aca="false">-(I208+I214)</f>
        <v>0</v>
      </c>
      <c r="J217" s="65" t="n">
        <f aca="false">-(J208+J214)</f>
        <v>527062.354260095</v>
      </c>
      <c r="K217" s="65" t="n">
        <f aca="false">-(K208+K214)</f>
        <v>525049.275365507</v>
      </c>
      <c r="L217" s="65" t="n">
        <f aca="false">-(L208+L214)</f>
        <v>523064.928851693</v>
      </c>
      <c r="M217" s="65" t="n">
        <f aca="false">-(M208+M214)</f>
        <v>519685.933986923</v>
      </c>
      <c r="N217" s="65" t="n">
        <f aca="false">-(N208+N214)</f>
        <v>519184.113075679</v>
      </c>
      <c r="O217" s="65" t="n">
        <f aca="false">-(O208+O214)</f>
        <v>517288.521094912</v>
      </c>
      <c r="P217" s="65" t="n">
        <f aca="false">-(P208+P214)</f>
        <v>515423.416931587</v>
      </c>
      <c r="Q217" s="65" t="n">
        <f aca="false">-(Q208+Q214)</f>
        <v>512186.029047692</v>
      </c>
      <c r="R217" s="65" t="n">
        <f aca="false">-(R208+R214)</f>
        <v>511786.600003408</v>
      </c>
      <c r="S217" s="65" t="n">
        <f aca="false">-(S208+S214)</f>
        <v>510015.892995266</v>
      </c>
      <c r="T217" s="65" t="n">
        <f aca="false">-(T208+T214)</f>
        <v>508277.686301921</v>
      </c>
      <c r="U217" s="65" t="n">
        <f aca="false">-(U208+U214)</f>
        <v>505188.448883046</v>
      </c>
      <c r="V217" s="65" t="n">
        <f aca="false">-(V208+V214)</f>
        <v>504900.980014489</v>
      </c>
      <c r="W217" s="65" t="n">
        <f aca="false">-(W208+W214)</f>
        <v>503263.630412542</v>
      </c>
      <c r="X217" s="65" t="n">
        <f aca="false">-(X208+X214)</f>
        <v>501661.08221755</v>
      </c>
      <c r="Y217" s="65" t="n">
        <f aca="false">-(Y208+Y214)</f>
        <v>498727.58292273</v>
      </c>
      <c r="Z217" s="65" t="n">
        <f aca="false">-(Z208+Z214)</f>
        <v>498562.908610388</v>
      </c>
      <c r="AA217" s="65" t="n">
        <f aca="false">-(AA208+AA214)</f>
        <v>497068.595171215</v>
      </c>
      <c r="AB217" s="65" t="n">
        <f aca="false">-(AB208+AB214)</f>
        <v>495611.708332356</v>
      </c>
      <c r="AC217" s="65" t="n">
        <f aca="false">-(AC208+AC214)</f>
        <v>492842.705623788</v>
      </c>
      <c r="AD217" s="65" t="n">
        <f aca="false">-(AD208+AD214)</f>
        <v>-0</v>
      </c>
      <c r="AE217" s="65" t="n">
        <f aca="false">-(AE208+AE214)</f>
        <v>-0</v>
      </c>
      <c r="AF217" s="65" t="n">
        <f aca="false">-(AF208+AF214)</f>
        <v>-0</v>
      </c>
      <c r="AG217" s="65" t="n">
        <f aca="false">-(AG208+AG214)</f>
        <v>-0</v>
      </c>
      <c r="AH217" s="65" t="n">
        <f aca="false">-(AH208+AH214)</f>
        <v>-0</v>
      </c>
      <c r="AI217" s="65" t="n">
        <f aca="false">-(AI208+AI214)</f>
        <v>-0</v>
      </c>
      <c r="AJ217" s="65" t="n">
        <f aca="false">-(AJ208+AJ214)</f>
        <v>-0</v>
      </c>
      <c r="AK217" s="65" t="n">
        <f aca="false">-(AK208+AK214)</f>
        <v>-0</v>
      </c>
      <c r="AL217" s="65" t="n">
        <f aca="false">-(AL208+AL214)</f>
        <v>-0</v>
      </c>
    </row>
    <row r="218" customFormat="false" ht="15" hidden="false" customHeight="false" outlineLevel="0" collapsed="false">
      <c r="C218" s="132" t="s">
        <v>382</v>
      </c>
      <c r="D218" s="132"/>
      <c r="E218" s="182" t="s">
        <v>72</v>
      </c>
      <c r="F218" s="132"/>
      <c r="G218" s="132"/>
      <c r="H218" s="183"/>
      <c r="I218" s="184" t="n">
        <f aca="false">SUM(I216:I217)</f>
        <v>509284.272068314</v>
      </c>
      <c r="J218" s="184" t="n">
        <f aca="false">SUM(J216:J217)</f>
        <v>527062.354260095</v>
      </c>
      <c r="K218" s="184" t="n">
        <f aca="false">SUM(K216:K217)</f>
        <v>525049.275365507</v>
      </c>
      <c r="L218" s="184" t="n">
        <f aca="false">SUM(L216:L217)</f>
        <v>523064.928851693</v>
      </c>
      <c r="M218" s="184" t="n">
        <f aca="false">SUM(M216:M217)</f>
        <v>519685.933986923</v>
      </c>
      <c r="N218" s="184" t="n">
        <f aca="false">SUM(N216:N217)</f>
        <v>519184.113075679</v>
      </c>
      <c r="O218" s="184" t="n">
        <f aca="false">SUM(O216:O217)</f>
        <v>517288.521094912</v>
      </c>
      <c r="P218" s="184" t="n">
        <f aca="false">SUM(P216:P217)</f>
        <v>515423.416931587</v>
      </c>
      <c r="Q218" s="184" t="n">
        <f aca="false">SUM(Q216:Q217)</f>
        <v>512186.029047692</v>
      </c>
      <c r="R218" s="184" t="n">
        <f aca="false">SUM(R216:R217)</f>
        <v>511786.600003408</v>
      </c>
      <c r="S218" s="184" t="n">
        <f aca="false">SUM(S216:S217)</f>
        <v>510015.892995266</v>
      </c>
      <c r="T218" s="184" t="n">
        <f aca="false">SUM(T216:T217)</f>
        <v>508277.686301921</v>
      </c>
      <c r="U218" s="184" t="n">
        <f aca="false">SUM(U216:U217)</f>
        <v>505188.448883046</v>
      </c>
      <c r="V218" s="184" t="n">
        <f aca="false">SUM(V216:V217)</f>
        <v>504900.980014489</v>
      </c>
      <c r="W218" s="184" t="n">
        <f aca="false">SUM(W216:W217)</f>
        <v>503263.630412542</v>
      </c>
      <c r="X218" s="184" t="n">
        <f aca="false">SUM(X216:X217)</f>
        <v>501661.08221755</v>
      </c>
      <c r="Y218" s="184" t="n">
        <f aca="false">SUM(Y216:Y217)</f>
        <v>498727.58292273</v>
      </c>
      <c r="Z218" s="184" t="n">
        <f aca="false">SUM(Z216:Z217)</f>
        <v>498562.908610388</v>
      </c>
      <c r="AA218" s="184" t="n">
        <f aca="false">SUM(AA216:AA217)</f>
        <v>497068.595171215</v>
      </c>
      <c r="AB218" s="184" t="n">
        <f aca="false">SUM(AB216:AB217)</f>
        <v>495611.708332356</v>
      </c>
      <c r="AC218" s="184" t="n">
        <f aca="false">SUM(AC216:AC217)</f>
        <v>492842.705623788</v>
      </c>
      <c r="AD218" s="184" t="n">
        <f aca="false">SUM(AD216:AD217)</f>
        <v>0</v>
      </c>
      <c r="AE218" s="184" t="n">
        <f aca="false">SUM(AE216:AE217)</f>
        <v>0</v>
      </c>
      <c r="AF218" s="184" t="n">
        <f aca="false">SUM(AF216:AF217)</f>
        <v>0</v>
      </c>
      <c r="AG218" s="184" t="n">
        <f aca="false">SUM(AG216:AG217)</f>
        <v>0</v>
      </c>
      <c r="AH218" s="184" t="n">
        <f aca="false">SUM(AH216:AH217)</f>
        <v>0</v>
      </c>
      <c r="AI218" s="184" t="n">
        <f aca="false">SUM(AI216:AI217)</f>
        <v>0</v>
      </c>
      <c r="AJ218" s="184" t="n">
        <f aca="false">SUM(AJ216:AJ217)</f>
        <v>0</v>
      </c>
      <c r="AK218" s="184" t="n">
        <f aca="false">SUM(AK216:AK217)</f>
        <v>0</v>
      </c>
      <c r="AL218" s="184" t="n">
        <f aca="false">SUM(AL216:AL217)</f>
        <v>0</v>
      </c>
    </row>
    <row r="219" customFormat="false" ht="15" hidden="false" customHeight="false" outlineLevel="0" collapsed="false">
      <c r="C219" s="0" t="s">
        <v>383</v>
      </c>
      <c r="E219" s="0"/>
      <c r="H219" s="0"/>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row>
    <row r="220" customFormat="false" ht="15" hidden="false" customHeight="false" outlineLevel="0" collapsed="false">
      <c r="C220" s="140" t="s">
        <v>384</v>
      </c>
      <c r="E220" s="104" t="s">
        <v>72</v>
      </c>
      <c r="H220" s="0"/>
      <c r="I220" s="65" t="n">
        <f aca="false">(H218-I218)*(I$6+I$7)</f>
        <v>-509284.272068314</v>
      </c>
      <c r="J220" s="65" t="n">
        <f aca="false">(I218-J218)*(J$6+J$7)</f>
        <v>-17778.0821917807</v>
      </c>
      <c r="K220" s="65" t="n">
        <f aca="false">(J218-K218)*(K$6+K$7)</f>
        <v>2013.07889458793</v>
      </c>
      <c r="L220" s="65" t="n">
        <f aca="false">(K218-L218)*(L$6+L$7)</f>
        <v>1984.34651381418</v>
      </c>
      <c r="M220" s="65" t="n">
        <f aca="false">(L218-M218)*(M$6+M$7)</f>
        <v>3378.99486477033</v>
      </c>
      <c r="N220" s="65" t="n">
        <f aca="false">(M218-N218)*(N$6+N$7)</f>
        <v>501.820911244024</v>
      </c>
      <c r="O220" s="65" t="n">
        <f aca="false">(N218-O218)*(O$6+O$7)</f>
        <v>1895.59198076709</v>
      </c>
      <c r="P220" s="65" t="n">
        <f aca="false">(O218-P218)*(P$6+P$7)</f>
        <v>1865.10416332481</v>
      </c>
      <c r="Q220" s="65" t="n">
        <f aca="false">(P218-Q218)*(Q$6+Q$7)</f>
        <v>3237.38788389473</v>
      </c>
      <c r="R220" s="65" t="n">
        <f aca="false">(Q218-R218)*(R$6+R$7)</f>
        <v>399.429044284334</v>
      </c>
      <c r="S220" s="65" t="n">
        <f aca="false">(R218-S218)*(S$6+S$7)</f>
        <v>1770.70700814202</v>
      </c>
      <c r="T220" s="65" t="n">
        <f aca="false">(S218-T218)*(T$6+T$7)</f>
        <v>1738.20669334463</v>
      </c>
      <c r="U220" s="65" t="n">
        <f aca="false">(T218-U218)*(U$6+U$7)</f>
        <v>3089.23741887539</v>
      </c>
      <c r="V220" s="65" t="n">
        <f aca="false">(U218-V218)*(V$6+V$7)</f>
        <v>287.468868556898</v>
      </c>
      <c r="W220" s="65" t="n">
        <f aca="false">(V218-W218)*(W$6+W$7)</f>
        <v>1637.3496019466</v>
      </c>
      <c r="X220" s="65" t="n">
        <f aca="false">(W218-X218)*(X$6+X$7)</f>
        <v>1602.54819499253</v>
      </c>
      <c r="Y220" s="65" t="n">
        <f aca="false">(X218-Y218)*(Y$6+Y$7)</f>
        <v>2933.49929481983</v>
      </c>
      <c r="Z220" s="65" t="n">
        <f aca="false">(Y218-Z218)*(Z$6+Z$7)</f>
        <v>164.674312341376</v>
      </c>
      <c r="AA220" s="65" t="n">
        <f aca="false">(Z218-AA218)*(AA$6+AA$7)</f>
        <v>1494.31343917293</v>
      </c>
      <c r="AB220" s="65" t="n">
        <f aca="false">(AA218-AB218)*(AB$6+AB$7)</f>
        <v>1456.88683885982</v>
      </c>
      <c r="AC220" s="65" t="n">
        <f aca="false">(AB218-AC218)*(AC$6+AC$7)</f>
        <v>2769.00270856719</v>
      </c>
      <c r="AD220" s="65" t="n">
        <f aca="false">(AC218-AD218)*(AD$6+AD$7)</f>
        <v>0</v>
      </c>
      <c r="AE220" s="65" t="n">
        <f aca="false">(AD218-AE218)*(AE$6+AE$7)</f>
        <v>0</v>
      </c>
      <c r="AF220" s="65" t="n">
        <f aca="false">(AE218-AF218)*(AF$6+AF$7)</f>
        <v>0</v>
      </c>
      <c r="AG220" s="65" t="n">
        <f aca="false">(AF218-AG218)*(AG$6+AG$7)</f>
        <v>0</v>
      </c>
      <c r="AH220" s="65" t="n">
        <f aca="false">(AG218-AH218)*(AH$6+AH$7)</f>
        <v>0</v>
      </c>
      <c r="AI220" s="65" t="n">
        <f aca="false">(AH218-AI218)*(AI$6+AI$7)</f>
        <v>0</v>
      </c>
      <c r="AJ220" s="65" t="n">
        <f aca="false">(AI218-AJ218)*(AJ$6+AJ$7)</f>
        <v>0</v>
      </c>
      <c r="AK220" s="65" t="n">
        <f aca="false">(AJ218-AK218)*(AK$6+AK$7)</f>
        <v>0</v>
      </c>
      <c r="AL220" s="65" t="n">
        <f aca="false">(AK218-AL218)*(AL$6+AL$7)</f>
        <v>0</v>
      </c>
    </row>
    <row r="221" customFormat="false" ht="15" hidden="false" customHeight="false" outlineLevel="0" collapsed="false">
      <c r="C221" s="140" t="s">
        <v>385</v>
      </c>
      <c r="E221" s="104" t="s">
        <v>72</v>
      </c>
      <c r="H221" s="0"/>
      <c r="I221" s="65" t="n">
        <f aca="false">I218*I$12</f>
        <v>0</v>
      </c>
      <c r="J221" s="65" t="n">
        <f aca="false">J218*J$12</f>
        <v>0</v>
      </c>
      <c r="K221" s="65" t="n">
        <f aca="false">K218*K$12</f>
        <v>0</v>
      </c>
      <c r="L221" s="65" t="n">
        <f aca="false">L218*L$12</f>
        <v>0</v>
      </c>
      <c r="M221" s="65" t="n">
        <f aca="false">M218*M$12</f>
        <v>0</v>
      </c>
      <c r="N221" s="65" t="n">
        <f aca="false">N218*N$12</f>
        <v>0</v>
      </c>
      <c r="O221" s="65" t="n">
        <f aca="false">O218*O$12</f>
        <v>0</v>
      </c>
      <c r="P221" s="65" t="n">
        <f aca="false">P218*P$12</f>
        <v>0</v>
      </c>
      <c r="Q221" s="65" t="n">
        <f aca="false">Q218*Q$12</f>
        <v>0</v>
      </c>
      <c r="R221" s="65" t="n">
        <f aca="false">R218*R$12</f>
        <v>0</v>
      </c>
      <c r="S221" s="65" t="n">
        <f aca="false">S218*S$12</f>
        <v>0</v>
      </c>
      <c r="T221" s="65" t="n">
        <f aca="false">T218*T$12</f>
        <v>0</v>
      </c>
      <c r="U221" s="65" t="n">
        <f aca="false">U218*U$12</f>
        <v>0</v>
      </c>
      <c r="V221" s="65" t="n">
        <f aca="false">V218*V$12</f>
        <v>0</v>
      </c>
      <c r="W221" s="65" t="n">
        <f aca="false">W218*W$12</f>
        <v>0</v>
      </c>
      <c r="X221" s="65" t="n">
        <f aca="false">X218*X$12</f>
        <v>0</v>
      </c>
      <c r="Y221" s="65" t="n">
        <f aca="false">Y218*Y$12</f>
        <v>0</v>
      </c>
      <c r="Z221" s="65" t="n">
        <f aca="false">Z218*Z$12</f>
        <v>0</v>
      </c>
      <c r="AA221" s="65" t="n">
        <f aca="false">AA218*AA$12</f>
        <v>0</v>
      </c>
      <c r="AB221" s="65" t="n">
        <f aca="false">AB218*AB$12</f>
        <v>0</v>
      </c>
      <c r="AC221" s="65" t="n">
        <f aca="false">AC218*AC$12</f>
        <v>492842.705623788</v>
      </c>
      <c r="AD221" s="65" t="n">
        <f aca="false">AD218*AD$12</f>
        <v>0</v>
      </c>
      <c r="AE221" s="65" t="n">
        <f aca="false">AE218*AE$12</f>
        <v>0</v>
      </c>
      <c r="AF221" s="65" t="n">
        <f aca="false">AF218*AF$12</f>
        <v>0</v>
      </c>
      <c r="AG221" s="65" t="n">
        <f aca="false">AG218*AG$12</f>
        <v>0</v>
      </c>
      <c r="AH221" s="65" t="n">
        <f aca="false">AH218*AH$12</f>
        <v>0</v>
      </c>
      <c r="AI221" s="65" t="n">
        <f aca="false">AI218*AI$12</f>
        <v>0</v>
      </c>
      <c r="AJ221" s="65" t="n">
        <f aca="false">AJ218*AJ$12</f>
        <v>0</v>
      </c>
      <c r="AK221" s="65" t="n">
        <f aca="false">AK218*AK$12</f>
        <v>0</v>
      </c>
      <c r="AL221" s="65" t="n">
        <f aca="false">AL218*AL$12</f>
        <v>0</v>
      </c>
    </row>
    <row r="222" customFormat="false" ht="15" hidden="false" customHeight="false" outlineLevel="0" collapsed="false">
      <c r="C222" s="185" t="s">
        <v>386</v>
      </c>
      <c r="D222" s="132"/>
      <c r="E222" s="182" t="s">
        <v>72</v>
      </c>
      <c r="F222" s="132"/>
      <c r="G222" s="132"/>
      <c r="H222" s="183"/>
      <c r="I222" s="184" t="n">
        <f aca="false">SUM(I220:I221)</f>
        <v>-509284.272068314</v>
      </c>
      <c r="J222" s="184" t="n">
        <f aca="false">SUM(J220:J221)</f>
        <v>-17778.0821917807</v>
      </c>
      <c r="K222" s="184" t="n">
        <f aca="false">SUM(K220:K221)</f>
        <v>2013.07889458793</v>
      </c>
      <c r="L222" s="184" t="n">
        <f aca="false">SUM(L220:L221)</f>
        <v>1984.34651381418</v>
      </c>
      <c r="M222" s="184" t="n">
        <f aca="false">SUM(M220:M221)</f>
        <v>3378.99486477033</v>
      </c>
      <c r="N222" s="184" t="n">
        <f aca="false">SUM(N220:N221)</f>
        <v>501.820911244024</v>
      </c>
      <c r="O222" s="184" t="n">
        <f aca="false">SUM(O220:O221)</f>
        <v>1895.59198076709</v>
      </c>
      <c r="P222" s="184" t="n">
        <f aca="false">SUM(P220:P221)</f>
        <v>1865.10416332481</v>
      </c>
      <c r="Q222" s="184" t="n">
        <f aca="false">SUM(Q220:Q221)</f>
        <v>3237.38788389473</v>
      </c>
      <c r="R222" s="184" t="n">
        <f aca="false">SUM(R220:R221)</f>
        <v>399.429044284334</v>
      </c>
      <c r="S222" s="184" t="n">
        <f aca="false">SUM(S220:S221)</f>
        <v>1770.70700814202</v>
      </c>
      <c r="T222" s="184" t="n">
        <f aca="false">SUM(T220:T221)</f>
        <v>1738.20669334463</v>
      </c>
      <c r="U222" s="184" t="n">
        <f aca="false">SUM(U220:U221)</f>
        <v>3089.23741887539</v>
      </c>
      <c r="V222" s="184" t="n">
        <f aca="false">SUM(V220:V221)</f>
        <v>287.468868556898</v>
      </c>
      <c r="W222" s="184" t="n">
        <f aca="false">SUM(W220:W221)</f>
        <v>1637.3496019466</v>
      </c>
      <c r="X222" s="184" t="n">
        <f aca="false">SUM(X220:X221)</f>
        <v>1602.54819499253</v>
      </c>
      <c r="Y222" s="184" t="n">
        <f aca="false">SUM(Y220:Y221)</f>
        <v>2933.49929481983</v>
      </c>
      <c r="Z222" s="184" t="n">
        <f aca="false">SUM(Z220:Z221)</f>
        <v>164.674312341376</v>
      </c>
      <c r="AA222" s="184" t="n">
        <f aca="false">SUM(AA220:AA221)</f>
        <v>1494.31343917293</v>
      </c>
      <c r="AB222" s="184" t="n">
        <f aca="false">SUM(AB220:AB221)</f>
        <v>1456.88683885982</v>
      </c>
      <c r="AC222" s="184" t="n">
        <f aca="false">SUM(AC220:AC221)</f>
        <v>495611.708332356</v>
      </c>
      <c r="AD222" s="184" t="n">
        <f aca="false">SUM(AD220:AD221)</f>
        <v>0</v>
      </c>
      <c r="AE222" s="184" t="n">
        <f aca="false">SUM(AE220:AE221)</f>
        <v>0</v>
      </c>
      <c r="AF222" s="184" t="n">
        <f aca="false">SUM(AF220:AF221)</f>
        <v>0</v>
      </c>
      <c r="AG222" s="184" t="n">
        <f aca="false">SUM(AG220:AG221)</f>
        <v>0</v>
      </c>
      <c r="AH222" s="184" t="n">
        <f aca="false">SUM(AH220:AH221)</f>
        <v>0</v>
      </c>
      <c r="AI222" s="184" t="n">
        <f aca="false">SUM(AI220:AI221)</f>
        <v>0</v>
      </c>
      <c r="AJ222" s="184" t="n">
        <f aca="false">SUM(AJ220:AJ221)</f>
        <v>0</v>
      </c>
      <c r="AK222" s="184" t="n">
        <f aca="false">SUM(AK220:AK221)</f>
        <v>0</v>
      </c>
      <c r="AL222" s="184" t="n">
        <f aca="false">SUM(AL220:AL221)</f>
        <v>0</v>
      </c>
    </row>
    <row r="223" customFormat="false" ht="15" hidden="false" customHeight="false" outlineLevel="0" collapsed="false">
      <c r="E223" s="0"/>
      <c r="H223" s="0"/>
      <c r="AI223" s="111"/>
      <c r="AJ223" s="111"/>
      <c r="AK223" s="111"/>
    </row>
    <row r="224" customFormat="false" ht="15" hidden="false" customHeight="false" outlineLevel="0" collapsed="false">
      <c r="B224" s="2" t="e">
        <f aca="false">(MAX($A$7:B203)+0.1)</f>
        <v>#VALUE!</v>
      </c>
      <c r="C224" s="2" t="s">
        <v>387</v>
      </c>
      <c r="E224" s="0"/>
      <c r="H224" s="0"/>
    </row>
    <row r="225" customFormat="false" ht="15" hidden="false" customHeight="false" outlineLevel="0" collapsed="false">
      <c r="C225" s="0" t="s">
        <v>388</v>
      </c>
      <c r="E225" s="104" t="s">
        <v>72</v>
      </c>
      <c r="H225" s="0"/>
      <c r="I225" s="65" t="n">
        <f aca="false">H229</f>
        <v>0</v>
      </c>
      <c r="J225" s="65" t="e">
        <f aca="false">I229</f>
        <v>#VALUE!</v>
      </c>
      <c r="K225" s="65" t="e">
        <f aca="false">J229</f>
        <v>#VALUE!</v>
      </c>
      <c r="L225" s="65" t="e">
        <f aca="false">K229</f>
        <v>#VALUE!</v>
      </c>
      <c r="M225" s="65" t="e">
        <f aca="false">L229</f>
        <v>#VALUE!</v>
      </c>
      <c r="N225" s="65" t="e">
        <f aca="false">M229</f>
        <v>#VALUE!</v>
      </c>
      <c r="O225" s="65" t="e">
        <f aca="false">N229</f>
        <v>#VALUE!</v>
      </c>
      <c r="P225" s="65" t="e">
        <f aca="false">O229</f>
        <v>#VALUE!</v>
      </c>
      <c r="Q225" s="65" t="e">
        <f aca="false">P229</f>
        <v>#VALUE!</v>
      </c>
      <c r="R225" s="65" t="e">
        <f aca="false">Q229</f>
        <v>#VALUE!</v>
      </c>
      <c r="S225" s="65" t="e">
        <f aca="false">R229</f>
        <v>#VALUE!</v>
      </c>
      <c r="T225" s="65" t="e">
        <f aca="false">S229</f>
        <v>#VALUE!</v>
      </c>
      <c r="U225" s="65" t="e">
        <f aca="false">T229</f>
        <v>#VALUE!</v>
      </c>
      <c r="V225" s="65" t="e">
        <f aca="false">U229</f>
        <v>#VALUE!</v>
      </c>
      <c r="W225" s="65" t="e">
        <f aca="false">V229</f>
        <v>#VALUE!</v>
      </c>
      <c r="X225" s="65" t="e">
        <f aca="false">W229</f>
        <v>#VALUE!</v>
      </c>
      <c r="Y225" s="65" t="e">
        <f aca="false">X229</f>
        <v>#VALUE!</v>
      </c>
      <c r="Z225" s="65" t="e">
        <f aca="false">Y229</f>
        <v>#VALUE!</v>
      </c>
      <c r="AA225" s="65" t="e">
        <f aca="false">Z229</f>
        <v>#VALUE!</v>
      </c>
      <c r="AB225" s="65" t="e">
        <f aca="false">AA229</f>
        <v>#VALUE!</v>
      </c>
      <c r="AC225" s="65" t="e">
        <f aca="false">AB229</f>
        <v>#VALUE!</v>
      </c>
      <c r="AD225" s="65" t="e">
        <f aca="false">AC229</f>
        <v>#VALUE!</v>
      </c>
      <c r="AE225" s="65" t="e">
        <f aca="false">AD229</f>
        <v>#VALUE!</v>
      </c>
      <c r="AF225" s="65" t="e">
        <f aca="false">AE229</f>
        <v>#VALUE!</v>
      </c>
      <c r="AG225" s="65" t="e">
        <f aca="false">AF229</f>
        <v>#VALUE!</v>
      </c>
      <c r="AH225" s="65" t="e">
        <f aca="false">AG229</f>
        <v>#VALUE!</v>
      </c>
      <c r="AI225" s="65" t="e">
        <f aca="false">AH229</f>
        <v>#VALUE!</v>
      </c>
      <c r="AJ225" s="65" t="e">
        <f aca="false">AI229</f>
        <v>#VALUE!</v>
      </c>
      <c r="AK225" s="65" t="e">
        <f aca="false">AJ229</f>
        <v>#VALUE!</v>
      </c>
      <c r="AL225" s="65" t="e">
        <f aca="false">AK229</f>
        <v>#VALUE!</v>
      </c>
    </row>
    <row r="226" customFormat="false" ht="15" hidden="false" customHeight="false" outlineLevel="0" collapsed="false">
      <c r="C226" s="0" t="s">
        <v>389</v>
      </c>
      <c r="E226" s="104" t="s">
        <v>72</v>
      </c>
      <c r="H226" s="0"/>
      <c r="I226" s="65" t="n">
        <f aca="false">I38</f>
        <v>1268562.27647766</v>
      </c>
      <c r="J226" s="65" t="n">
        <f aca="false">J38</f>
        <v>0</v>
      </c>
      <c r="K226" s="65" t="n">
        <f aca="false">K38</f>
        <v>0</v>
      </c>
      <c r="L226" s="65" t="n">
        <f aca="false">L38</f>
        <v>0</v>
      </c>
      <c r="M226" s="65" t="n">
        <f aca="false">M38</f>
        <v>0</v>
      </c>
      <c r="N226" s="65" t="n">
        <f aca="false">N38</f>
        <v>0</v>
      </c>
      <c r="O226" s="65" t="n">
        <f aca="false">O38</f>
        <v>0</v>
      </c>
      <c r="P226" s="65" t="n">
        <f aca="false">P38</f>
        <v>0</v>
      </c>
      <c r="Q226" s="65" t="n">
        <f aca="false">Q38</f>
        <v>0</v>
      </c>
      <c r="R226" s="65" t="n">
        <f aca="false">R38</f>
        <v>0</v>
      </c>
      <c r="S226" s="65" t="n">
        <f aca="false">S38</f>
        <v>0</v>
      </c>
      <c r="T226" s="65" t="n">
        <f aca="false">T38</f>
        <v>0</v>
      </c>
      <c r="U226" s="65" t="n">
        <f aca="false">U38</f>
        <v>0</v>
      </c>
      <c r="V226" s="65" t="n">
        <f aca="false">V38</f>
        <v>0</v>
      </c>
      <c r="W226" s="65" t="n">
        <f aca="false">W38</f>
        <v>0</v>
      </c>
      <c r="X226" s="65" t="n">
        <f aca="false">X38</f>
        <v>0</v>
      </c>
      <c r="Y226" s="65" t="n">
        <f aca="false">Y38</f>
        <v>0</v>
      </c>
      <c r="Z226" s="65" t="n">
        <f aca="false">Z38</f>
        <v>0</v>
      </c>
      <c r="AA226" s="65" t="n">
        <f aca="false">AA38</f>
        <v>0</v>
      </c>
      <c r="AB226" s="65" t="n">
        <f aca="false">AB38</f>
        <v>0</v>
      </c>
      <c r="AC226" s="65" t="n">
        <f aca="false">AC38</f>
        <v>0</v>
      </c>
      <c r="AD226" s="65" t="n">
        <f aca="false">AD38</f>
        <v>0</v>
      </c>
      <c r="AE226" s="65" t="n">
        <f aca="false">AE38</f>
        <v>0</v>
      </c>
      <c r="AF226" s="65" t="n">
        <f aca="false">AF38</f>
        <v>0</v>
      </c>
      <c r="AG226" s="65" t="n">
        <f aca="false">AG38</f>
        <v>0</v>
      </c>
      <c r="AH226" s="65" t="n">
        <f aca="false">AH38</f>
        <v>0</v>
      </c>
      <c r="AI226" s="65" t="n">
        <f aca="false">AI38</f>
        <v>0</v>
      </c>
      <c r="AJ226" s="65" t="n">
        <f aca="false">AJ38</f>
        <v>0</v>
      </c>
      <c r="AK226" s="65" t="n">
        <f aca="false">AK38</f>
        <v>0</v>
      </c>
      <c r="AL226" s="65" t="n">
        <f aca="false">AL38</f>
        <v>0</v>
      </c>
    </row>
    <row r="227" customFormat="false" ht="15" hidden="false" customHeight="false" outlineLevel="0" collapsed="false">
      <c r="C227" s="0" t="s">
        <v>390</v>
      </c>
      <c r="E227" s="104" t="s">
        <v>72</v>
      </c>
      <c r="H227" s="0"/>
      <c r="I227" s="65" t="e">
        <f aca="false">(((Bank_Terms="fixed principal")*I112+(Bank_Terms="amortization")*I125+(Bank_Terms="DSCR")*I100)-I225)*I11</f>
        <v>#VALUE!</v>
      </c>
      <c r="J227" s="65" t="e">
        <f aca="false">(((Bank_Terms="fixed principal")*J112+(Bank_Terms="amortization")*J125+(Bank_Terms="DSCR")*J100)-J225)*J11</f>
        <v>#VALUE!</v>
      </c>
      <c r="K227" s="65" t="e">
        <f aca="false">(((Bank_Terms="fixed principal")*K112+(Bank_Terms="amortization")*K125+(Bank_Terms="DSCR")*K100)-K225)*K11</f>
        <v>#VALUE!</v>
      </c>
      <c r="L227" s="65" t="e">
        <f aca="false">(((Bank_Terms="fixed principal")*L112+(Bank_Terms="amortization")*L125+(Bank_Terms="DSCR")*L100)-L225)*L11</f>
        <v>#VALUE!</v>
      </c>
      <c r="M227" s="65" t="e">
        <f aca="false">(((Bank_Terms="fixed principal")*M112+(Bank_Terms="amortization")*M125+(Bank_Terms="DSCR")*M100)-M225)*M11</f>
        <v>#VALUE!</v>
      </c>
      <c r="N227" s="65" t="e">
        <f aca="false">(((Bank_Terms="fixed principal")*N112+(Bank_Terms="amortization")*N125+(Bank_Terms="DSCR")*N100)-N225)*N11</f>
        <v>#VALUE!</v>
      </c>
      <c r="O227" s="65" t="e">
        <f aca="false">(((Bank_Terms="fixed principal")*O112+(Bank_Terms="amortization")*O125+(Bank_Terms="DSCR")*O100)-O225)*O11</f>
        <v>#VALUE!</v>
      </c>
      <c r="P227" s="65" t="e">
        <f aca="false">(((Bank_Terms="fixed principal")*P112+(Bank_Terms="amortization")*P125+(Bank_Terms="DSCR")*P100)-P225)*P11</f>
        <v>#VALUE!</v>
      </c>
      <c r="Q227" s="65" t="e">
        <f aca="false">(((Bank_Terms="fixed principal")*Q112+(Bank_Terms="amortization")*Q125+(Bank_Terms="DSCR")*Q100)-Q225)*Q11</f>
        <v>#VALUE!</v>
      </c>
      <c r="R227" s="65" t="e">
        <f aca="false">(((Bank_Terms="fixed principal")*R112+(Bank_Terms="amortization")*R125+(Bank_Terms="DSCR")*R100)-R225)*R11</f>
        <v>#VALUE!</v>
      </c>
      <c r="S227" s="65" t="e">
        <f aca="false">(((Bank_Terms="fixed principal")*S112+(Bank_Terms="amortization")*S125+(Bank_Terms="DSCR")*S100)-S225)*S11</f>
        <v>#VALUE!</v>
      </c>
      <c r="T227" s="65" t="e">
        <f aca="false">(((Bank_Terms="fixed principal")*T112+(Bank_Terms="amortization")*T125+(Bank_Terms="DSCR")*T100)-T225)*T11</f>
        <v>#VALUE!</v>
      </c>
      <c r="U227" s="65" t="e">
        <f aca="false">(((Bank_Terms="fixed principal")*U112+(Bank_Terms="amortization")*U125+(Bank_Terms="DSCR")*U100)-U225)*U11</f>
        <v>#VALUE!</v>
      </c>
      <c r="V227" s="65" t="e">
        <f aca="false">(((Bank_Terms="fixed principal")*V112+(Bank_Terms="amortization")*V125+(Bank_Terms="DSCR")*V100)-V225)*V11</f>
        <v>#VALUE!</v>
      </c>
      <c r="W227" s="65" t="e">
        <f aca="false">(((Bank_Terms="fixed principal")*W112+(Bank_Terms="amortization")*W125+(Bank_Terms="DSCR")*W100)-W225)*W11</f>
        <v>#VALUE!</v>
      </c>
      <c r="X227" s="65" t="e">
        <f aca="false">(((Bank_Terms="fixed principal")*X112+(Bank_Terms="amortization")*X125+(Bank_Terms="DSCR")*X100)-X225)*X11</f>
        <v>#VALUE!</v>
      </c>
      <c r="Y227" s="65" t="e">
        <f aca="false">(((Bank_Terms="fixed principal")*Y112+(Bank_Terms="amortization")*Y125+(Bank_Terms="DSCR")*Y100)-Y225)*Y11</f>
        <v>#VALUE!</v>
      </c>
      <c r="Z227" s="65" t="e">
        <f aca="false">(((Bank_Terms="fixed principal")*Z112+(Bank_Terms="amortization")*Z125+(Bank_Terms="DSCR")*Z100)-Z225)*Z11</f>
        <v>#VALUE!</v>
      </c>
      <c r="AA227" s="65" t="e">
        <f aca="false">(((Bank_Terms="fixed principal")*AA112+(Bank_Terms="amortization")*AA125+(Bank_Terms="DSCR")*AA100)-AA225)*AA11</f>
        <v>#VALUE!</v>
      </c>
      <c r="AB227" s="65" t="e">
        <f aca="false">(((Bank_Terms="fixed principal")*AB112+(Bank_Terms="amortization")*AB125+(Bank_Terms="DSCR")*AB100)-AB225)*AB11</f>
        <v>#VALUE!</v>
      </c>
      <c r="AC227" s="65" t="e">
        <f aca="false">(((Bank_Terms="fixed principal")*AC112+(Bank_Terms="amortization")*AC125+(Bank_Terms="DSCR")*AC100)-AC225)*AC11</f>
        <v>#VALUE!</v>
      </c>
      <c r="AD227" s="65" t="e">
        <f aca="false">(((Bank_Terms="fixed principal")*AD112+(Bank_Terms="amortization")*AD125+(Bank_Terms="DSCR")*AD100)-AD225)*AD11</f>
        <v>#VALUE!</v>
      </c>
      <c r="AE227" s="65" t="e">
        <f aca="false">(((Bank_Terms="fixed principal")*AE112+(Bank_Terms="amortization")*AE125+(Bank_Terms="DSCR")*AE100)-AE225)*AE11</f>
        <v>#VALUE!</v>
      </c>
      <c r="AF227" s="65" t="e">
        <f aca="false">(((Bank_Terms="fixed principal")*AF112+(Bank_Terms="amortization")*AF125+(Bank_Terms="DSCR")*AF100)-AF225)*AF11</f>
        <v>#VALUE!</v>
      </c>
      <c r="AG227" s="65" t="e">
        <f aca="false">(((Bank_Terms="fixed principal")*AG112+(Bank_Terms="amortization")*AG125+(Bank_Terms="DSCR")*AG100)-AG225)*AG11</f>
        <v>#VALUE!</v>
      </c>
      <c r="AH227" s="65" t="e">
        <f aca="false">(((Bank_Terms="fixed principal")*AH112+(Bank_Terms="amortization")*AH125+(Bank_Terms="DSCR")*AH100)-AH225)*AH11</f>
        <v>#VALUE!</v>
      </c>
      <c r="AI227" s="65" t="e">
        <f aca="false">(((Bank_Terms="fixed principal")*AI112+(Bank_Terms="amortization")*AI125+(Bank_Terms="DSCR")*AI100)-AI225)*AI11</f>
        <v>#VALUE!</v>
      </c>
      <c r="AJ227" s="65" t="e">
        <f aca="false">(((Bank_Terms="fixed principal")*AJ112+(Bank_Terms="amortization")*AJ125+(Bank_Terms="DSCR")*AJ100)-AJ225)*AJ11</f>
        <v>#VALUE!</v>
      </c>
      <c r="AK227" s="65" t="e">
        <f aca="false">(((Bank_Terms="fixed principal")*AK112+(Bank_Terms="amortization")*AK125+(Bank_Terms="DSCR")*AK100)-AK225)*AK11</f>
        <v>#VALUE!</v>
      </c>
      <c r="AL227" s="65" t="e">
        <f aca="false">(((Bank_Terms="fixed principal")*AL112+(Bank_Terms="amortization")*AL125+(Bank_Terms="DSCR")*AL100)-AL225)*AL11</f>
        <v>#VALUE!</v>
      </c>
    </row>
    <row r="228" customFormat="false" ht="15" hidden="false" customHeight="false" outlineLevel="0" collapsed="false">
      <c r="C228" s="0" t="s">
        <v>391</v>
      </c>
      <c r="E228" s="104" t="s">
        <v>72</v>
      </c>
      <c r="H228" s="0"/>
      <c r="I228" s="65" t="e">
        <f aca="false">-SUM(I225:I227)*(I10&gt;=Bank_Tenor)</f>
        <v>#VALUE!</v>
      </c>
      <c r="J228" s="65" t="e">
        <f aca="false">-SUM(J225:J227)*(J10&gt;=Bank_Tenor)</f>
        <v>#VALUE!</v>
      </c>
      <c r="K228" s="65" t="e">
        <f aca="false">-SUM(K225:K227)*(K10&gt;=Bank_Tenor)</f>
        <v>#VALUE!</v>
      </c>
      <c r="L228" s="65" t="e">
        <f aca="false">-SUM(L225:L227)*(L10&gt;=Bank_Tenor)</f>
        <v>#VALUE!</v>
      </c>
      <c r="M228" s="65" t="e">
        <f aca="false">-SUM(M225:M227)*(M10&gt;=Bank_Tenor)</f>
        <v>#VALUE!</v>
      </c>
      <c r="N228" s="65" t="e">
        <f aca="false">-SUM(N225:N227)*(N10&gt;=Bank_Tenor)</f>
        <v>#VALUE!</v>
      </c>
      <c r="O228" s="65" t="e">
        <f aca="false">-SUM(O225:O227)*(O10&gt;=Bank_Tenor)</f>
        <v>#VALUE!</v>
      </c>
      <c r="P228" s="65" t="e">
        <f aca="false">-SUM(P225:P227)*(P10&gt;=Bank_Tenor)</f>
        <v>#VALUE!</v>
      </c>
      <c r="Q228" s="65" t="e">
        <f aca="false">-SUM(Q225:Q227)*(Q10&gt;=Bank_Tenor)</f>
        <v>#VALUE!</v>
      </c>
      <c r="R228" s="65" t="e">
        <f aca="false">-SUM(R225:R227)*(R10&gt;=Bank_Tenor)</f>
        <v>#VALUE!</v>
      </c>
      <c r="S228" s="65" t="e">
        <f aca="false">-SUM(S225:S227)*(S10&gt;=Bank_Tenor)</f>
        <v>#VALUE!</v>
      </c>
      <c r="T228" s="65" t="e">
        <f aca="false">-SUM(T225:T227)*(T10&gt;=Bank_Tenor)</f>
        <v>#VALUE!</v>
      </c>
      <c r="U228" s="65" t="e">
        <f aca="false">-SUM(U225:U227)*(U10&gt;=Bank_Tenor)</f>
        <v>#VALUE!</v>
      </c>
      <c r="V228" s="65" t="e">
        <f aca="false">-SUM(V225:V227)*(V10&gt;=Bank_Tenor)</f>
        <v>#VALUE!</v>
      </c>
      <c r="W228" s="65" t="e">
        <f aca="false">-SUM(W225:W227)*(W10&gt;=Bank_Tenor)</f>
        <v>#VALUE!</v>
      </c>
      <c r="X228" s="65" t="e">
        <f aca="false">-SUM(X225:X227)*(X10&gt;=Bank_Tenor)</f>
        <v>#VALUE!</v>
      </c>
      <c r="Y228" s="65" t="e">
        <f aca="false">-SUM(Y225:Y227)*(Y10&gt;=Bank_Tenor)</f>
        <v>#VALUE!</v>
      </c>
      <c r="Z228" s="65" t="e">
        <f aca="false">-SUM(Z225:Z227)*(Z10&gt;=Bank_Tenor)</f>
        <v>#VALUE!</v>
      </c>
      <c r="AA228" s="65" t="e">
        <f aca="false">-SUM(AA225:AA227)*(AA10&gt;=Bank_Tenor)</f>
        <v>#VALUE!</v>
      </c>
      <c r="AB228" s="65" t="e">
        <f aca="false">-SUM(AB225:AB227)*(AB10&gt;=Bank_Tenor)</f>
        <v>#VALUE!</v>
      </c>
      <c r="AC228" s="65" t="e">
        <f aca="false">-SUM(AC225:AC227)*(AC10&gt;=Bank_Tenor)</f>
        <v>#VALUE!</v>
      </c>
      <c r="AD228" s="65" t="e">
        <f aca="false">-SUM(AD225:AD227)*(AD10&gt;=Bank_Tenor)</f>
        <v>#VALUE!</v>
      </c>
      <c r="AE228" s="65" t="e">
        <f aca="false">-SUM(AE225:AE227)*(AE10&gt;=Bank_Tenor)</f>
        <v>#VALUE!</v>
      </c>
      <c r="AF228" s="65" t="e">
        <f aca="false">-SUM(AF225:AF227)*(AF10&gt;=Bank_Tenor)</f>
        <v>#VALUE!</v>
      </c>
      <c r="AG228" s="65" t="e">
        <f aca="false">-SUM(AG225:AG227)*(AG10&gt;=Bank_Tenor)</f>
        <v>#VALUE!</v>
      </c>
      <c r="AH228" s="65" t="e">
        <f aca="false">-SUM(AH225:AH227)*(AH10&gt;=Bank_Tenor)</f>
        <v>#VALUE!</v>
      </c>
      <c r="AI228" s="65" t="e">
        <f aca="false">-SUM(AI225:AI227)*(AI10&gt;=Bank_Tenor)</f>
        <v>#VALUE!</v>
      </c>
      <c r="AJ228" s="65" t="e">
        <f aca="false">-SUM(AJ225:AJ227)*(AJ10&gt;=Bank_Tenor)</f>
        <v>#VALUE!</v>
      </c>
      <c r="AK228" s="65" t="e">
        <f aca="false">-SUM(AK225:AK227)*(AK10&gt;=Bank_Tenor)</f>
        <v>#VALUE!</v>
      </c>
      <c r="AL228" s="65" t="e">
        <f aca="false">-SUM(AL225:AL227)*(AL10&gt;=Bank_Tenor)</f>
        <v>#VALUE!</v>
      </c>
    </row>
    <row r="229" customFormat="false" ht="15" hidden="false" customHeight="false" outlineLevel="0" collapsed="false">
      <c r="C229" s="117" t="s">
        <v>392</v>
      </c>
      <c r="D229" s="117"/>
      <c r="E229" s="118" t="s">
        <v>72</v>
      </c>
      <c r="F229" s="117"/>
      <c r="G229" s="117"/>
      <c r="H229" s="119"/>
      <c r="I229" s="124" t="e">
        <f aca="false">SUM(I225:I228)</f>
        <v>#VALUE!</v>
      </c>
      <c r="J229" s="124" t="e">
        <f aca="false">SUM(J225:J228)</f>
        <v>#VALUE!</v>
      </c>
      <c r="K229" s="124" t="e">
        <f aca="false">SUM(K225:K228)</f>
        <v>#VALUE!</v>
      </c>
      <c r="L229" s="124" t="e">
        <f aca="false">SUM(L225:L228)</f>
        <v>#VALUE!</v>
      </c>
      <c r="M229" s="124" t="e">
        <f aca="false">SUM(M225:M228)</f>
        <v>#VALUE!</v>
      </c>
      <c r="N229" s="124" t="e">
        <f aca="false">SUM(N225:N228)</f>
        <v>#VALUE!</v>
      </c>
      <c r="O229" s="124" t="e">
        <f aca="false">SUM(O225:O228)</f>
        <v>#VALUE!</v>
      </c>
      <c r="P229" s="124" t="e">
        <f aca="false">SUM(P225:P228)</f>
        <v>#VALUE!</v>
      </c>
      <c r="Q229" s="124" t="e">
        <f aca="false">SUM(Q225:Q228)</f>
        <v>#VALUE!</v>
      </c>
      <c r="R229" s="124" t="e">
        <f aca="false">SUM(R225:R228)</f>
        <v>#VALUE!</v>
      </c>
      <c r="S229" s="124" t="e">
        <f aca="false">SUM(S225:S228)</f>
        <v>#VALUE!</v>
      </c>
      <c r="T229" s="124" t="e">
        <f aca="false">SUM(T225:T228)</f>
        <v>#VALUE!</v>
      </c>
      <c r="U229" s="124" t="e">
        <f aca="false">SUM(U225:U228)</f>
        <v>#VALUE!</v>
      </c>
      <c r="V229" s="124" t="e">
        <f aca="false">SUM(V225:V228)</f>
        <v>#VALUE!</v>
      </c>
      <c r="W229" s="124" t="e">
        <f aca="false">SUM(W225:W228)</f>
        <v>#VALUE!</v>
      </c>
      <c r="X229" s="124" t="e">
        <f aca="false">SUM(X225:X228)</f>
        <v>#VALUE!</v>
      </c>
      <c r="Y229" s="124" t="e">
        <f aca="false">SUM(Y225:Y228)</f>
        <v>#VALUE!</v>
      </c>
      <c r="Z229" s="124" t="e">
        <f aca="false">SUM(Z225:Z228)</f>
        <v>#VALUE!</v>
      </c>
      <c r="AA229" s="124" t="e">
        <f aca="false">SUM(AA225:AA228)</f>
        <v>#VALUE!</v>
      </c>
      <c r="AB229" s="124" t="e">
        <f aca="false">SUM(AB225:AB228)</f>
        <v>#VALUE!</v>
      </c>
      <c r="AC229" s="124" t="e">
        <f aca="false">SUM(AC225:AC228)</f>
        <v>#VALUE!</v>
      </c>
      <c r="AD229" s="124" t="e">
        <f aca="false">SUM(AD225:AD228)</f>
        <v>#VALUE!</v>
      </c>
      <c r="AE229" s="124" t="e">
        <f aca="false">SUM(AE225:AE228)</f>
        <v>#VALUE!</v>
      </c>
      <c r="AF229" s="124" t="e">
        <f aca="false">SUM(AF225:AF228)</f>
        <v>#VALUE!</v>
      </c>
      <c r="AG229" s="124" t="e">
        <f aca="false">SUM(AG225:AG228)</f>
        <v>#VALUE!</v>
      </c>
      <c r="AH229" s="124" t="e">
        <f aca="false">SUM(AH225:AH228)</f>
        <v>#VALUE!</v>
      </c>
      <c r="AI229" s="124" t="e">
        <f aca="false">SUM(AI225:AI228)</f>
        <v>#VALUE!</v>
      </c>
      <c r="AJ229" s="124" t="e">
        <f aca="false">SUM(AJ225:AJ228)</f>
        <v>#VALUE!</v>
      </c>
      <c r="AK229" s="124" t="e">
        <f aca="false">SUM(AK225:AK228)</f>
        <v>#VALUE!</v>
      </c>
      <c r="AL229" s="124" t="e">
        <f aca="false">SUM(AL225:AL228)</f>
        <v>#VALUE!</v>
      </c>
    </row>
    <row r="231" customFormat="false" ht="15" hidden="false" customHeight="false" outlineLevel="0" collapsed="false">
      <c r="B231" s="2" t="e">
        <f aca="false">(MAX($A$7:B230)+0.1)</f>
        <v>#VALUE!</v>
      </c>
      <c r="C231" s="2" t="s">
        <v>317</v>
      </c>
      <c r="E231" s="0"/>
      <c r="H231" s="0"/>
    </row>
    <row r="232" customFormat="false" ht="15" hidden="false" customHeight="false" outlineLevel="0" collapsed="false">
      <c r="C232" s="0" t="s">
        <v>388</v>
      </c>
      <c r="E232" s="104" t="s">
        <v>72</v>
      </c>
      <c r="H232" s="0"/>
      <c r="I232" s="65" t="n">
        <f aca="false">H236</f>
        <v>0</v>
      </c>
      <c r="J232" s="65" t="n">
        <f aca="false">I236</f>
        <v>344238.443157287</v>
      </c>
      <c r="K232" s="65" t="n">
        <f aca="false">J236</f>
        <v>344238.443157287</v>
      </c>
      <c r="L232" s="65" t="n">
        <f aca="false">K236</f>
        <v>342517.2509415</v>
      </c>
      <c r="M232" s="65" t="n">
        <f aca="false">L236</f>
        <v>340804.664686793</v>
      </c>
      <c r="N232" s="65" t="n">
        <f aca="false">M236</f>
        <v>339100.641363359</v>
      </c>
      <c r="O232" s="65" t="n">
        <f aca="false">N236</f>
        <v>337405.138156542</v>
      </c>
      <c r="P232" s="65" t="n">
        <f aca="false">O236</f>
        <v>335718.112465759</v>
      </c>
      <c r="Q232" s="65" t="n">
        <f aca="false">P236</f>
        <v>334039.52190343</v>
      </c>
      <c r="R232" s="65" t="n">
        <f aca="false">Q236</f>
        <v>332369.324293913</v>
      </c>
      <c r="S232" s="65" t="n">
        <f aca="false">R236</f>
        <v>330707.477672444</v>
      </c>
      <c r="T232" s="65" t="n">
        <f aca="false">S236</f>
        <v>329053.940284081</v>
      </c>
      <c r="U232" s="65" t="n">
        <f aca="false">T236</f>
        <v>327408.670582661</v>
      </c>
      <c r="V232" s="65" t="n">
        <f aca="false">U236</f>
        <v>325771.627229748</v>
      </c>
      <c r="W232" s="65" t="n">
        <f aca="false">V236</f>
        <v>324142.769093599</v>
      </c>
      <c r="X232" s="65" t="n">
        <f aca="false">W236</f>
        <v>322522.055248131</v>
      </c>
      <c r="Y232" s="65" t="n">
        <f aca="false">X236</f>
        <v>320909.44497189</v>
      </c>
      <c r="Z232" s="65" t="n">
        <f aca="false">Y236</f>
        <v>319304.897747031</v>
      </c>
      <c r="AA232" s="65" t="n">
        <f aca="false">Z236</f>
        <v>317708.373258296</v>
      </c>
      <c r="AB232" s="65" t="n">
        <f aca="false">AA236</f>
        <v>316119.831392004</v>
      </c>
      <c r="AC232" s="65" t="n">
        <f aca="false">AB236</f>
        <v>314539.232235044</v>
      </c>
      <c r="AD232" s="65" t="n">
        <f aca="false">AC236</f>
        <v>0</v>
      </c>
      <c r="AE232" s="65" t="n">
        <f aca="false">AD236</f>
        <v>0</v>
      </c>
      <c r="AF232" s="65" t="n">
        <f aca="false">AE236</f>
        <v>0</v>
      </c>
      <c r="AG232" s="65" t="n">
        <f aca="false">AF236</f>
        <v>0</v>
      </c>
      <c r="AH232" s="65" t="n">
        <f aca="false">AG236</f>
        <v>0</v>
      </c>
      <c r="AI232" s="65" t="n">
        <f aca="false">AH236</f>
        <v>0</v>
      </c>
      <c r="AJ232" s="65" t="n">
        <f aca="false">AI236</f>
        <v>0</v>
      </c>
      <c r="AK232" s="65" t="n">
        <f aca="false">AJ236</f>
        <v>0</v>
      </c>
      <c r="AL232" s="65" t="n">
        <f aca="false">AK236</f>
        <v>0</v>
      </c>
    </row>
    <row r="233" customFormat="false" ht="15" hidden="false" customHeight="false" outlineLevel="0" collapsed="false">
      <c r="C233" s="0" t="s">
        <v>393</v>
      </c>
      <c r="E233" s="104" t="s">
        <v>72</v>
      </c>
      <c r="H233" s="0"/>
      <c r="I233" s="65" t="n">
        <f aca="false">I9*SUMIF(I10:AL10,1,I238:AL238)</f>
        <v>344238.443157287</v>
      </c>
      <c r="J233" s="65" t="n">
        <f aca="false">J9*SUMIF(J10:AM10,1,J238:AM238)</f>
        <v>0</v>
      </c>
      <c r="K233" s="65" t="n">
        <f aca="false">K9*SUMIF(K10:AN10,1,K238:AN238)</f>
        <v>0</v>
      </c>
      <c r="L233" s="65" t="n">
        <f aca="false">L9*SUMIF(L10:AO10,1,L238:AO238)</f>
        <v>0</v>
      </c>
      <c r="M233" s="65" t="n">
        <f aca="false">M9*SUMIF(M10:AP10,1,M238:AP238)</f>
        <v>0</v>
      </c>
      <c r="N233" s="65" t="n">
        <f aca="false">N9*SUMIF(N10:AQ10,1,N238:AQ238)</f>
        <v>0</v>
      </c>
      <c r="O233" s="65" t="n">
        <f aca="false">O9*SUMIF(O10:AR10,1,O238:AR238)</f>
        <v>0</v>
      </c>
      <c r="P233" s="65" t="n">
        <f aca="false">P9*SUMIF(P10:AS10,1,P238:AS238)</f>
        <v>0</v>
      </c>
      <c r="Q233" s="65" t="n">
        <f aca="false">Q9*SUMIF(Q10:AT10,1,Q238:AT238)</f>
        <v>0</v>
      </c>
      <c r="R233" s="65" t="n">
        <f aca="false">R9*SUMIF(R10:AU10,1,R238:AU238)</f>
        <v>0</v>
      </c>
      <c r="S233" s="65" t="n">
        <f aca="false">S9*SUMIF(S10:AV10,1,S238:AV238)</f>
        <v>0</v>
      </c>
      <c r="T233" s="65" t="n">
        <f aca="false">T9*SUMIF(T10:AW10,1,T238:AW238)</f>
        <v>0</v>
      </c>
      <c r="U233" s="65" t="n">
        <f aca="false">U9*SUMIF(U10:AX10,1,U238:AX238)</f>
        <v>0</v>
      </c>
      <c r="V233" s="65" t="n">
        <f aca="false">V9*SUMIF(V10:AY10,1,V238:AY238)</f>
        <v>0</v>
      </c>
      <c r="W233" s="65" t="n">
        <f aca="false">W9*SUMIF(W10:AZ10,1,W238:AZ238)</f>
        <v>0</v>
      </c>
      <c r="X233" s="65" t="n">
        <f aca="false">X9*SUMIF(X10:BA10,1,X238:BA238)</f>
        <v>0</v>
      </c>
      <c r="Y233" s="65" t="n">
        <f aca="false">Y9*SUMIF(Y10:BB10,1,Y238:BB238)</f>
        <v>0</v>
      </c>
      <c r="Z233" s="65" t="n">
        <f aca="false">Z9*SUMIF(Z10:BC10,1,Z238:BC238)</f>
        <v>0</v>
      </c>
      <c r="AA233" s="65" t="n">
        <f aca="false">AA9*SUMIF(AA10:BD10,1,AA238:BD238)</f>
        <v>0</v>
      </c>
      <c r="AB233" s="65" t="n">
        <f aca="false">AB9*SUMIF(AB10:BE10,1,AB238:BE238)</f>
        <v>0</v>
      </c>
      <c r="AC233" s="65" t="n">
        <f aca="false">AC9*SUMIF(AC10:BF10,1,AC238:BF238)</f>
        <v>0</v>
      </c>
      <c r="AD233" s="65" t="n">
        <f aca="false">AD9*SUMIF(AD10:BG10,1,AD238:BG238)</f>
        <v>0</v>
      </c>
      <c r="AE233" s="65" t="n">
        <f aca="false">AE9*SUMIF(AE10:BH10,1,AE238:BH238)</f>
        <v>0</v>
      </c>
      <c r="AF233" s="65" t="n">
        <f aca="false">AF9*SUMIF(AF10:BI10,1,AF238:BI238)</f>
        <v>0</v>
      </c>
      <c r="AG233" s="65" t="n">
        <f aca="false">AG9*SUMIF(AG10:BJ10,1,AG238:BJ238)</f>
        <v>0</v>
      </c>
      <c r="AH233" s="65" t="n">
        <f aca="false">AH9*SUMIF(AH10:BK10,1,AH238:BK238)</f>
        <v>0</v>
      </c>
      <c r="AI233" s="65" t="n">
        <f aca="false">AI9*SUMIF(AI10:BL10,1,AI238:BL238)</f>
        <v>0</v>
      </c>
      <c r="AJ233" s="65" t="n">
        <f aca="false">AJ9*SUMIF(AJ10:BM10,1,AJ238:BM238)</f>
        <v>0</v>
      </c>
      <c r="AK233" s="65" t="n">
        <f aca="false">AK9*SUMIF(AK10:BN10,1,AK238:BN238)</f>
        <v>0</v>
      </c>
      <c r="AL233" s="65" t="n">
        <f aca="false">AL9*SUMIF(AL10:BO10,1,AL238:BO238)</f>
        <v>0</v>
      </c>
    </row>
    <row r="234" customFormat="false" ht="15" hidden="false" customHeight="false" outlineLevel="0" collapsed="false">
      <c r="C234" s="0" t="s">
        <v>394</v>
      </c>
      <c r="E234" s="104" t="s">
        <v>72</v>
      </c>
      <c r="H234" s="0"/>
      <c r="I234" s="65" t="n">
        <f aca="false">-I7*(I232-I238)</f>
        <v>-0</v>
      </c>
      <c r="J234" s="65" t="n">
        <f aca="false">-J7*(J232-J238)</f>
        <v>-0</v>
      </c>
      <c r="K234" s="65" t="n">
        <f aca="false">-K7*(K232-K238)</f>
        <v>-1721.19221578643</v>
      </c>
      <c r="L234" s="65" t="n">
        <f aca="false">-L7*(L232-L238)</f>
        <v>-1712.58625470748</v>
      </c>
      <c r="M234" s="65" t="n">
        <f aca="false">-M7*(M232-M238)</f>
        <v>-1704.02332343394</v>
      </c>
      <c r="N234" s="65" t="n">
        <f aca="false">-N7*(N232-N238)</f>
        <v>-1695.50320681685</v>
      </c>
      <c r="O234" s="65" t="n">
        <f aca="false">-O7*(O232-O238)</f>
        <v>-1687.0256907827</v>
      </c>
      <c r="P234" s="65" t="n">
        <f aca="false">-P7*(P232-P238)</f>
        <v>-1678.59056232875</v>
      </c>
      <c r="Q234" s="65" t="n">
        <f aca="false">-Q7*(Q232-Q238)</f>
        <v>-1670.19760951714</v>
      </c>
      <c r="R234" s="65" t="n">
        <f aca="false">-R7*(R232-R238)</f>
        <v>-1661.84662146954</v>
      </c>
      <c r="S234" s="65" t="n">
        <f aca="false">-S7*(S232-S238)</f>
        <v>-1653.53738836228</v>
      </c>
      <c r="T234" s="65" t="n">
        <f aca="false">-T7*(T232-T238)</f>
        <v>-1645.26970142039</v>
      </c>
      <c r="U234" s="65" t="n">
        <f aca="false">-U7*(U232-U238)</f>
        <v>-1637.04335291334</v>
      </c>
      <c r="V234" s="65" t="n">
        <f aca="false">-V7*(V232-V238)</f>
        <v>-1628.85813614866</v>
      </c>
      <c r="W234" s="65" t="n">
        <f aca="false">-W7*(W232-W238)</f>
        <v>-1620.71384546801</v>
      </c>
      <c r="X234" s="65" t="n">
        <f aca="false">-X7*(X232-X238)</f>
        <v>-1612.61027624062</v>
      </c>
      <c r="Y234" s="65" t="n">
        <f aca="false">-Y7*(Y232-Y238)</f>
        <v>-1604.54722485947</v>
      </c>
      <c r="Z234" s="65" t="n">
        <f aca="false">-Z7*(Z232-Z238)</f>
        <v>-1596.52448873519</v>
      </c>
      <c r="AA234" s="65" t="n">
        <f aca="false">-AA7*(AA232-AA238)</f>
        <v>-1588.54186629149</v>
      </c>
      <c r="AB234" s="65" t="n">
        <f aca="false">-AB7*(AB232-AB238)</f>
        <v>-1580.59915695997</v>
      </c>
      <c r="AC234" s="65" t="n">
        <f aca="false">-AC7*(AC232-AC238)</f>
        <v>-1572.69616117526</v>
      </c>
      <c r="AD234" s="65" t="n">
        <f aca="false">-AD7*(AD232-AD238)</f>
        <v>-0</v>
      </c>
      <c r="AE234" s="65" t="n">
        <f aca="false">-AE7*(AE232-AE238)</f>
        <v>-0</v>
      </c>
      <c r="AF234" s="65" t="n">
        <f aca="false">-AF7*(AF232-AF238)</f>
        <v>-0</v>
      </c>
      <c r="AG234" s="65" t="n">
        <f aca="false">-AG7*(AG232-AG238)</f>
        <v>-0</v>
      </c>
      <c r="AH234" s="65" t="n">
        <f aca="false">-AH7*(AH232-AH238)</f>
        <v>-0</v>
      </c>
      <c r="AI234" s="65" t="n">
        <f aca="false">-AI7*(AI232-AI238)</f>
        <v>-0</v>
      </c>
      <c r="AJ234" s="65" t="n">
        <f aca="false">-AJ7*(AJ232-AJ238)</f>
        <v>-0</v>
      </c>
      <c r="AK234" s="65" t="n">
        <f aca="false">-AK7*(AK232-AK238)</f>
        <v>-0</v>
      </c>
      <c r="AL234" s="65" t="n">
        <f aca="false">-AL7*(AL232-AL238)</f>
        <v>-0</v>
      </c>
    </row>
    <row r="235" customFormat="false" ht="15" hidden="false" customHeight="false" outlineLevel="0" collapsed="false">
      <c r="C235" s="0" t="s">
        <v>395</v>
      </c>
      <c r="E235" s="104" t="s">
        <v>72</v>
      </c>
      <c r="H235" s="0"/>
      <c r="I235" s="65" t="n">
        <f aca="false">-I232*(PPA_duration=I10)</f>
        <v>0</v>
      </c>
      <c r="J235" s="65" t="n">
        <f aca="false">-SUM(J232:J234)*(PPA_duration=J10)</f>
        <v>-0</v>
      </c>
      <c r="K235" s="65" t="n">
        <f aca="false">-SUM(K232:K234)*(PPA_duration=K10)</f>
        <v>-0</v>
      </c>
      <c r="L235" s="65" t="n">
        <f aca="false">-SUM(L232:L234)*(PPA_duration=L10)</f>
        <v>-0</v>
      </c>
      <c r="M235" s="65" t="n">
        <f aca="false">-SUM(M232:M234)*(PPA_duration=M10)</f>
        <v>-0</v>
      </c>
      <c r="N235" s="65" t="n">
        <f aca="false">-SUM(N232:N234)*(PPA_duration=N10)</f>
        <v>-0</v>
      </c>
      <c r="O235" s="65" t="n">
        <f aca="false">-SUM(O232:O234)*(PPA_duration=O10)</f>
        <v>-0</v>
      </c>
      <c r="P235" s="65" t="n">
        <f aca="false">-SUM(P232:P234)*(PPA_duration=P10)</f>
        <v>-0</v>
      </c>
      <c r="Q235" s="65" t="n">
        <f aca="false">-SUM(Q232:Q234)*(PPA_duration=Q10)</f>
        <v>-0</v>
      </c>
      <c r="R235" s="65" t="n">
        <f aca="false">-SUM(R232:R234)*(PPA_duration=R10)</f>
        <v>-0</v>
      </c>
      <c r="S235" s="65" t="n">
        <f aca="false">-SUM(S232:S234)*(PPA_duration=S10)</f>
        <v>-0</v>
      </c>
      <c r="T235" s="65" t="n">
        <f aca="false">-SUM(T232:T234)*(PPA_duration=T10)</f>
        <v>-0</v>
      </c>
      <c r="U235" s="65" t="n">
        <f aca="false">-SUM(U232:U234)*(PPA_duration=U10)</f>
        <v>-0</v>
      </c>
      <c r="V235" s="65" t="n">
        <f aca="false">-SUM(V232:V234)*(PPA_duration=V10)</f>
        <v>-0</v>
      </c>
      <c r="W235" s="65" t="n">
        <f aca="false">-SUM(W232:W234)*(PPA_duration=W10)</f>
        <v>-0</v>
      </c>
      <c r="X235" s="65" t="n">
        <f aca="false">-SUM(X232:X234)*(PPA_duration=X10)</f>
        <v>-0</v>
      </c>
      <c r="Y235" s="65" t="n">
        <f aca="false">-SUM(Y232:Y234)*(PPA_duration=Y10)</f>
        <v>-0</v>
      </c>
      <c r="Z235" s="65" t="n">
        <f aca="false">-SUM(Z232:Z234)*(PPA_duration=Z10)</f>
        <v>-0</v>
      </c>
      <c r="AA235" s="65" t="n">
        <f aca="false">-SUM(AA232:AA234)*(PPA_duration=AA10)</f>
        <v>-0</v>
      </c>
      <c r="AB235" s="65" t="n">
        <f aca="false">-SUM(AB232:AB234)*(PPA_duration=AB10)</f>
        <v>-0</v>
      </c>
      <c r="AC235" s="65" t="n">
        <f aca="false">-SUM(AC232:AC234)*(PPA_duration=AC10)</f>
        <v>-312966.536073869</v>
      </c>
      <c r="AD235" s="65" t="n">
        <f aca="false">-SUM(AD232:AD234)*(PPA_duration=AD10)</f>
        <v>-0</v>
      </c>
      <c r="AE235" s="65" t="n">
        <f aca="false">-SUM(AE232:AE234)*(PPA_duration=AE10)</f>
        <v>-0</v>
      </c>
      <c r="AF235" s="65" t="n">
        <f aca="false">-SUM(AF232:AF234)*(PPA_duration=AF10)</f>
        <v>-0</v>
      </c>
      <c r="AG235" s="65" t="n">
        <f aca="false">-SUM(AG232:AG234)*(PPA_duration=AG10)</f>
        <v>-0</v>
      </c>
      <c r="AH235" s="65" t="n">
        <f aca="false">-SUM(AH232:AH234)*(PPA_duration=AH10)</f>
        <v>-0</v>
      </c>
      <c r="AI235" s="65" t="n">
        <f aca="false">-SUM(AI232:AI234)*(PPA_duration=AI10)</f>
        <v>-0</v>
      </c>
      <c r="AJ235" s="65" t="n">
        <f aca="false">-SUM(AJ232:AJ234)*(PPA_duration=AJ10)</f>
        <v>-0</v>
      </c>
      <c r="AK235" s="65" t="n">
        <f aca="false">-SUM(AK232:AK234)*(PPA_duration=AK10)</f>
        <v>-0</v>
      </c>
      <c r="AL235" s="65" t="n">
        <f aca="false">-SUM(AL232:AL234)*(PPA_duration=AL10)</f>
        <v>-0</v>
      </c>
    </row>
    <row r="236" customFormat="false" ht="15" hidden="false" customHeight="false" outlineLevel="0" collapsed="false">
      <c r="C236" s="117" t="s">
        <v>392</v>
      </c>
      <c r="D236" s="117"/>
      <c r="E236" s="118" t="s">
        <v>72</v>
      </c>
      <c r="F236" s="117"/>
      <c r="G236" s="117"/>
      <c r="H236" s="119"/>
      <c r="I236" s="124" t="n">
        <f aca="false">SUM(I232:I235)</f>
        <v>344238.443157287</v>
      </c>
      <c r="J236" s="124" t="n">
        <f aca="false">SUM(J232:J235)</f>
        <v>344238.443157287</v>
      </c>
      <c r="K236" s="124" t="n">
        <f aca="false">SUM(K232:K235)</f>
        <v>342517.2509415</v>
      </c>
      <c r="L236" s="124" t="n">
        <f aca="false">SUM(L232:L235)</f>
        <v>340804.664686793</v>
      </c>
      <c r="M236" s="124" t="n">
        <f aca="false">SUM(M232:M235)</f>
        <v>339100.641363359</v>
      </c>
      <c r="N236" s="124" t="n">
        <f aca="false">SUM(N232:N235)</f>
        <v>337405.138156542</v>
      </c>
      <c r="O236" s="124" t="n">
        <f aca="false">SUM(O232:O235)</f>
        <v>335718.112465759</v>
      </c>
      <c r="P236" s="124" t="n">
        <f aca="false">SUM(P232:P235)</f>
        <v>334039.52190343</v>
      </c>
      <c r="Q236" s="124" t="n">
        <f aca="false">SUM(Q232:Q235)</f>
        <v>332369.324293913</v>
      </c>
      <c r="R236" s="124" t="n">
        <f aca="false">SUM(R232:R235)</f>
        <v>330707.477672444</v>
      </c>
      <c r="S236" s="124" t="n">
        <f aca="false">SUM(S232:S235)</f>
        <v>329053.940284081</v>
      </c>
      <c r="T236" s="124" t="n">
        <f aca="false">SUM(T232:T235)</f>
        <v>327408.670582661</v>
      </c>
      <c r="U236" s="124" t="n">
        <f aca="false">SUM(U232:U235)</f>
        <v>325771.627229748</v>
      </c>
      <c r="V236" s="124" t="n">
        <f aca="false">SUM(V232:V235)</f>
        <v>324142.769093599</v>
      </c>
      <c r="W236" s="124" t="n">
        <f aca="false">SUM(W232:W235)</f>
        <v>322522.055248131</v>
      </c>
      <c r="X236" s="124" t="n">
        <f aca="false">SUM(X232:X235)</f>
        <v>320909.44497189</v>
      </c>
      <c r="Y236" s="124" t="n">
        <f aca="false">SUM(Y232:Y235)</f>
        <v>319304.897747031</v>
      </c>
      <c r="Z236" s="124" t="n">
        <f aca="false">SUM(Z232:Z235)</f>
        <v>317708.373258296</v>
      </c>
      <c r="AA236" s="124" t="n">
        <f aca="false">SUM(AA232:AA235)</f>
        <v>316119.831392004</v>
      </c>
      <c r="AB236" s="124" t="n">
        <f aca="false">SUM(AB232:AB235)</f>
        <v>314539.232235044</v>
      </c>
      <c r="AC236" s="124" t="n">
        <f aca="false">SUM(AC232:AC235)</f>
        <v>0</v>
      </c>
      <c r="AD236" s="124" t="n">
        <f aca="false">SUM(AD232:AD235)</f>
        <v>0</v>
      </c>
      <c r="AE236" s="124" t="n">
        <f aca="false">SUM(AE232:AE235)</f>
        <v>0</v>
      </c>
      <c r="AF236" s="124" t="n">
        <f aca="false">SUM(AF232:AF235)</f>
        <v>0</v>
      </c>
      <c r="AG236" s="124" t="n">
        <f aca="false">SUM(AG232:AG235)</f>
        <v>0</v>
      </c>
      <c r="AH236" s="124" t="n">
        <f aca="false">SUM(AH232:AH235)</f>
        <v>0</v>
      </c>
      <c r="AI236" s="124" t="n">
        <f aca="false">SUM(AI232:AI235)</f>
        <v>0</v>
      </c>
      <c r="AJ236" s="124" t="n">
        <f aca="false">SUM(AJ232:AJ235)</f>
        <v>0</v>
      </c>
      <c r="AK236" s="124" t="n">
        <f aca="false">SUM(AK232:AK235)</f>
        <v>0</v>
      </c>
      <c r="AL236" s="124" t="n">
        <f aca="false">SUM(AL232:AL235)</f>
        <v>0</v>
      </c>
    </row>
    <row r="238" customFormat="false" ht="15" hidden="false" customHeight="false" outlineLevel="0" collapsed="false">
      <c r="C238" s="0" t="s">
        <v>396</v>
      </c>
      <c r="E238" s="104" t="s">
        <v>72</v>
      </c>
      <c r="H238" s="0"/>
      <c r="I238" s="65" t="n">
        <f aca="false">MRA/12*'Cash Flow'!I21</f>
        <v>0</v>
      </c>
      <c r="J238" s="65" t="n">
        <f aca="false">MRA/12*'Cash Flow'!J21</f>
        <v>344238.443157287</v>
      </c>
      <c r="K238" s="65" t="n">
        <f aca="false">MRA/12*'Cash Flow'!K21</f>
        <v>342517.2509415</v>
      </c>
      <c r="L238" s="65" t="n">
        <f aca="false">MRA/12*'Cash Flow'!L21</f>
        <v>340804.664686793</v>
      </c>
      <c r="M238" s="65" t="n">
        <f aca="false">MRA/12*'Cash Flow'!M21</f>
        <v>339100.641363359</v>
      </c>
      <c r="N238" s="65" t="n">
        <f aca="false">MRA/12*'Cash Flow'!N21</f>
        <v>337405.138156542</v>
      </c>
      <c r="O238" s="65" t="n">
        <f aca="false">MRA/12*'Cash Flow'!O21</f>
        <v>335718.112465759</v>
      </c>
      <c r="P238" s="65" t="n">
        <f aca="false">MRA/12*'Cash Flow'!P21</f>
        <v>334039.52190343</v>
      </c>
      <c r="Q238" s="65" t="n">
        <f aca="false">MRA/12*'Cash Flow'!Q21</f>
        <v>332369.324293913</v>
      </c>
      <c r="R238" s="65" t="n">
        <f aca="false">MRA/12*'Cash Flow'!R21</f>
        <v>330707.477672444</v>
      </c>
      <c r="S238" s="65" t="n">
        <f aca="false">MRA/12*'Cash Flow'!S21</f>
        <v>329053.940284081</v>
      </c>
      <c r="T238" s="65" t="n">
        <f aca="false">MRA/12*'Cash Flow'!T21</f>
        <v>327408.670582661</v>
      </c>
      <c r="U238" s="65" t="n">
        <f aca="false">MRA/12*'Cash Flow'!U21</f>
        <v>325771.627229748</v>
      </c>
      <c r="V238" s="65" t="n">
        <f aca="false">MRA/12*'Cash Flow'!V21</f>
        <v>324142.769093599</v>
      </c>
      <c r="W238" s="65" t="n">
        <f aca="false">MRA/12*'Cash Flow'!W21</f>
        <v>322522.055248131</v>
      </c>
      <c r="X238" s="65" t="n">
        <f aca="false">MRA/12*'Cash Flow'!X21</f>
        <v>320909.44497189</v>
      </c>
      <c r="Y238" s="65" t="n">
        <f aca="false">MRA/12*'Cash Flow'!Y21</f>
        <v>319304.897747031</v>
      </c>
      <c r="Z238" s="65" t="n">
        <f aca="false">MRA/12*'Cash Flow'!Z21</f>
        <v>317708.373258296</v>
      </c>
      <c r="AA238" s="65" t="n">
        <f aca="false">MRA/12*'Cash Flow'!AA21</f>
        <v>316119.831392004</v>
      </c>
      <c r="AB238" s="65" t="n">
        <f aca="false">MRA/12*'Cash Flow'!AB21</f>
        <v>314539.232235044</v>
      </c>
      <c r="AC238" s="65" t="n">
        <f aca="false">MRA/12*'Cash Flow'!AC21</f>
        <v>312966.536073869</v>
      </c>
      <c r="AD238" s="65" t="n">
        <f aca="false">MRA/12*'Cash Flow'!AD21</f>
        <v>0</v>
      </c>
      <c r="AE238" s="65" t="n">
        <f aca="false">MRA/12*'Cash Flow'!AE21</f>
        <v>0</v>
      </c>
      <c r="AF238" s="65" t="n">
        <f aca="false">MRA/12*'Cash Flow'!AF21</f>
        <v>0</v>
      </c>
      <c r="AG238" s="65" t="n">
        <f aca="false">MRA/12*'Cash Flow'!AG21</f>
        <v>0</v>
      </c>
      <c r="AH238" s="65" t="n">
        <f aca="false">MRA/12*'Cash Flow'!AH21</f>
        <v>0</v>
      </c>
      <c r="AI238" s="65" t="n">
        <f aca="false">MRA/12*'Cash Flow'!AI21</f>
        <v>0</v>
      </c>
      <c r="AJ238" s="65" t="n">
        <f aca="false">MRA/12*'Cash Flow'!AJ21</f>
        <v>0</v>
      </c>
      <c r="AK238" s="65" t="n">
        <f aca="false">MRA/12*'Cash Flow'!AK21</f>
        <v>0</v>
      </c>
      <c r="AL238" s="65" t="n">
        <f aca="false">MRA/12*'Cash Flow'!AL21</f>
        <v>0</v>
      </c>
    </row>
    <row r="240" s="30" customFormat="true" ht="16.9" hidden="false" customHeight="true" outlineLevel="0" collapsed="false">
      <c r="A240" s="30" t="n">
        <f aca="false">COUNT($A$6:A203)+1</f>
        <v>6</v>
      </c>
      <c r="C240" s="30" t="s">
        <v>153</v>
      </c>
      <c r="E240" s="31"/>
      <c r="H240" s="112"/>
    </row>
    <row r="241" customFormat="false" ht="15" hidden="false" customHeight="false" outlineLevel="0" collapsed="false">
      <c r="E241" s="0"/>
      <c r="H241" s="0"/>
      <c r="I241" s="186"/>
    </row>
    <row r="242" customFormat="false" ht="15" hidden="false" customHeight="false" outlineLevel="0" collapsed="false">
      <c r="C242" s="0" t="s">
        <v>397</v>
      </c>
      <c r="E242" s="104" t="s">
        <v>72</v>
      </c>
      <c r="H242" s="0"/>
      <c r="I242" s="65" t="e">
        <f aca="false">(MIGA_Switch="yes")*((MIGA_Capital_Covered="debt only")*(I254+I262)+(MIGA_Capital_Covered="debt+equity")*(I254+I262+I270)+(MIGA_Capital_Covered="equity only")*I270)</f>
        <v>#VALUE!</v>
      </c>
      <c r="J242" s="65" t="e">
        <f aca="false">(MIGA_Switch="yes")*((MIGA_Capital_Covered="debt only")*(J254+J262)+(MIGA_Capital_Covered="debt+equity")*(J254+J262+J270)+(MIGA_Capital_Covered="equity only")*J270)</f>
        <v>#VALUE!</v>
      </c>
      <c r="K242" s="65" t="e">
        <f aca="false">(MIGA_Switch="yes")*((MIGA_Capital_Covered="debt only")*(K254+K262)+(MIGA_Capital_Covered="debt+equity")*(K254+K262+K270)+(MIGA_Capital_Covered="equity only")*K270)</f>
        <v>#VALUE!</v>
      </c>
      <c r="L242" s="65" t="e">
        <f aca="false">(MIGA_Switch="yes")*((MIGA_Capital_Covered="debt only")*(L254+L262)+(MIGA_Capital_Covered="debt+equity")*(L254+L262+L270)+(MIGA_Capital_Covered="equity only")*L270)</f>
        <v>#VALUE!</v>
      </c>
      <c r="M242" s="65" t="e">
        <f aca="false">(MIGA_Switch="yes")*((MIGA_Capital_Covered="debt only")*(M254+M262)+(MIGA_Capital_Covered="debt+equity")*(M254+M262+M270)+(MIGA_Capital_Covered="equity only")*M270)</f>
        <v>#VALUE!</v>
      </c>
      <c r="N242" s="65" t="e">
        <f aca="false">(MIGA_Switch="yes")*((MIGA_Capital_Covered="debt only")*(N254+N262)+(MIGA_Capital_Covered="debt+equity")*(N254+N262+N270)+(MIGA_Capital_Covered="equity only")*N270)</f>
        <v>#VALUE!</v>
      </c>
      <c r="O242" s="65" t="e">
        <f aca="false">(MIGA_Switch="yes")*((MIGA_Capital_Covered="debt only")*(O254+O262)+(MIGA_Capital_Covered="debt+equity")*(O254+O262+O270)+(MIGA_Capital_Covered="equity only")*O270)</f>
        <v>#VALUE!</v>
      </c>
      <c r="P242" s="65" t="e">
        <f aca="false">(MIGA_Switch="yes")*((MIGA_Capital_Covered="debt only")*(P254+P262)+(MIGA_Capital_Covered="debt+equity")*(P254+P262+P270)+(MIGA_Capital_Covered="equity only")*P270)</f>
        <v>#VALUE!</v>
      </c>
      <c r="Q242" s="65" t="e">
        <f aca="false">(MIGA_Switch="yes")*((MIGA_Capital_Covered="debt only")*(Q254+Q262)+(MIGA_Capital_Covered="debt+equity")*(Q254+Q262+Q270)+(MIGA_Capital_Covered="equity only")*Q270)</f>
        <v>#VALUE!</v>
      </c>
      <c r="R242" s="65" t="e">
        <f aca="false">(MIGA_Switch="yes")*((MIGA_Capital_Covered="debt only")*(R254+R262)+(MIGA_Capital_Covered="debt+equity")*(R254+R262+R270)+(MIGA_Capital_Covered="equity only")*R270)</f>
        <v>#VALUE!</v>
      </c>
      <c r="S242" s="65" t="e">
        <f aca="false">(MIGA_Switch="yes")*((MIGA_Capital_Covered="debt only")*(S254+S262)+(MIGA_Capital_Covered="debt+equity")*(S254+S262+S270)+(MIGA_Capital_Covered="equity only")*S270)</f>
        <v>#VALUE!</v>
      </c>
      <c r="T242" s="65" t="e">
        <f aca="false">(MIGA_Switch="yes")*((MIGA_Capital_Covered="debt only")*(T254+T262)+(MIGA_Capital_Covered="debt+equity")*(T254+T262+T270)+(MIGA_Capital_Covered="equity only")*T270)</f>
        <v>#VALUE!</v>
      </c>
      <c r="U242" s="65" t="e">
        <f aca="false">(MIGA_Switch="yes")*((MIGA_Capital_Covered="debt only")*(U254+U262)+(MIGA_Capital_Covered="debt+equity")*(U254+U262+U270)+(MIGA_Capital_Covered="equity only")*U270)</f>
        <v>#VALUE!</v>
      </c>
      <c r="V242" s="65" t="e">
        <f aca="false">(MIGA_Switch="yes")*((MIGA_Capital_Covered="debt only")*(V254+V262)+(MIGA_Capital_Covered="debt+equity")*(V254+V262+V270)+(MIGA_Capital_Covered="equity only")*V270)</f>
        <v>#VALUE!</v>
      </c>
      <c r="W242" s="65" t="e">
        <f aca="false">(MIGA_Switch="yes")*((MIGA_Capital_Covered="debt only")*(W254+W262)+(MIGA_Capital_Covered="debt+equity")*(W254+W262+W270)+(MIGA_Capital_Covered="equity only")*W270)</f>
        <v>#VALUE!</v>
      </c>
      <c r="X242" s="65" t="e">
        <f aca="false">(MIGA_Switch="yes")*((MIGA_Capital_Covered="debt only")*(X254+X262)+(MIGA_Capital_Covered="debt+equity")*(X254+X262+X270)+(MIGA_Capital_Covered="equity only")*X270)</f>
        <v>#VALUE!</v>
      </c>
      <c r="Y242" s="65" t="e">
        <f aca="false">(MIGA_Switch="yes")*((MIGA_Capital_Covered="debt only")*(Y254+Y262)+(MIGA_Capital_Covered="debt+equity")*(Y254+Y262+Y270)+(MIGA_Capital_Covered="equity only")*Y270)</f>
        <v>#VALUE!</v>
      </c>
      <c r="Z242" s="65" t="e">
        <f aca="false">(MIGA_Switch="yes")*((MIGA_Capital_Covered="debt only")*(Z254+Z262)+(MIGA_Capital_Covered="debt+equity")*(Z254+Z262+Z270)+(MIGA_Capital_Covered="equity only")*Z270)</f>
        <v>#VALUE!</v>
      </c>
      <c r="AA242" s="65" t="e">
        <f aca="false">(MIGA_Switch="yes")*((MIGA_Capital_Covered="debt only")*(AA254+AA262)+(MIGA_Capital_Covered="debt+equity")*(AA254+AA262+AA270)+(MIGA_Capital_Covered="equity only")*AA270)</f>
        <v>#VALUE!</v>
      </c>
      <c r="AB242" s="65" t="e">
        <f aca="false">(MIGA_Switch="yes")*((MIGA_Capital_Covered="debt only")*(AB254+AB262)+(MIGA_Capital_Covered="debt+equity")*(AB254+AB262+AB270)+(MIGA_Capital_Covered="equity only")*AB270)</f>
        <v>#VALUE!</v>
      </c>
      <c r="AC242" s="65" t="e">
        <f aca="false">(MIGA_Switch="yes")*((MIGA_Capital_Covered="debt only")*(AC254+AC262)+(MIGA_Capital_Covered="debt+equity")*(AC254+AC262+AC270)+(MIGA_Capital_Covered="equity only")*AC270)</f>
        <v>#VALUE!</v>
      </c>
      <c r="AD242" s="65" t="e">
        <f aca="false">(MIGA_Switch="yes")*((MIGA_Capital_Covered="debt only")*(AD254+AD262)+(MIGA_Capital_Covered="debt+equity")*(AD254+AD262+AD270)+(MIGA_Capital_Covered="equity only")*AD270)</f>
        <v>#VALUE!</v>
      </c>
      <c r="AE242" s="65" t="e">
        <f aca="false">(MIGA_Switch="yes")*((MIGA_Capital_Covered="debt only")*(AE254+AE262)+(MIGA_Capital_Covered="debt+equity")*(AE254+AE262+AE270)+(MIGA_Capital_Covered="equity only")*AE270)</f>
        <v>#VALUE!</v>
      </c>
      <c r="AF242" s="65" t="e">
        <f aca="false">(MIGA_Switch="yes")*((MIGA_Capital_Covered="debt only")*(AF254+AF262)+(MIGA_Capital_Covered="debt+equity")*(AF254+AF262+AF270)+(MIGA_Capital_Covered="equity only")*AF270)</f>
        <v>#VALUE!</v>
      </c>
      <c r="AG242" s="65" t="e">
        <f aca="false">(MIGA_Switch="yes")*((MIGA_Capital_Covered="debt only")*(AG254+AG262)+(MIGA_Capital_Covered="debt+equity")*(AG254+AG262+AG270)+(MIGA_Capital_Covered="equity only")*AG270)</f>
        <v>#VALUE!</v>
      </c>
      <c r="AH242" s="65" t="e">
        <f aca="false">(MIGA_Switch="yes")*((MIGA_Capital_Covered="debt only")*(AH254+AH262)+(MIGA_Capital_Covered="debt+equity")*(AH254+AH262+AH270)+(MIGA_Capital_Covered="equity only")*AH270)</f>
        <v>#VALUE!</v>
      </c>
      <c r="AI242" s="65" t="e">
        <f aca="false">(MIGA_Switch="yes")*((MIGA_Capital_Covered="debt only")*(AI254+AI262)+(MIGA_Capital_Covered="debt+equity")*(AI254+AI262+AI270)+(MIGA_Capital_Covered="equity only")*AI270)</f>
        <v>#VALUE!</v>
      </c>
      <c r="AJ242" s="65" t="e">
        <f aca="false">(MIGA_Switch="yes")*((MIGA_Capital_Covered="debt only")*(AJ254+AJ262)+(MIGA_Capital_Covered="debt+equity")*(AJ254+AJ262+AJ270)+(MIGA_Capital_Covered="equity only")*AJ270)</f>
        <v>#VALUE!</v>
      </c>
      <c r="AK242" s="65" t="e">
        <f aca="false">(MIGA_Switch="yes")*((MIGA_Capital_Covered="debt only")*(AK254+AK262)+(MIGA_Capital_Covered="debt+equity")*(AK254+AK262+AK270)+(MIGA_Capital_Covered="equity only")*AK270)</f>
        <v>#VALUE!</v>
      </c>
      <c r="AL242" s="65" t="e">
        <f aca="false">(MIGA_Switch="yes")*((MIGA_Capital_Covered="debt only")*(AL254+AL262)+(MIGA_Capital_Covered="debt+equity")*(AL254+AL262+AL270)+(MIGA_Capital_Covered="equity only")*AL270)</f>
        <v>#VALUE!</v>
      </c>
    </row>
    <row r="243" customFormat="false" ht="15" hidden="false" customHeight="false" outlineLevel="0" collapsed="false">
      <c r="C243" s="0" t="s">
        <v>398</v>
      </c>
      <c r="E243" s="104" t="s">
        <v>72</v>
      </c>
      <c r="H243" s="0"/>
      <c r="I243" s="65" t="e">
        <f aca="false">(MIGA_Switch="yes")*((MIGA_Capital_Covered="debt only")*I261+(MIGA_Capital_Covered="debt+equity")*(I261+I277)+(MIGA_Capital_Covered="equity only")*I277)</f>
        <v>#VALUE!</v>
      </c>
      <c r="J243" s="65" t="e">
        <f aca="false">(MIGA_Switch="yes")*((MIGA_Capital_Covered="debt only")*J261+(MIGA_Capital_Covered="debt+equity")*(J261+J277)+(MIGA_Capital_Covered="equity only")*J277)</f>
        <v>#VALUE!</v>
      </c>
      <c r="K243" s="65" t="e">
        <f aca="false">(MIGA_Switch="yes")*((MIGA_Capital_Covered="debt only")*K261+(MIGA_Capital_Covered="debt+equity")*(K261+K277)+(MIGA_Capital_Covered="equity only")*K277)</f>
        <v>#VALUE!</v>
      </c>
      <c r="L243" s="65" t="e">
        <f aca="false">(MIGA_Switch="yes")*((MIGA_Capital_Covered="debt only")*L261+(MIGA_Capital_Covered="debt+equity")*(L261+L277)+(MIGA_Capital_Covered="equity only")*L277)</f>
        <v>#VALUE!</v>
      </c>
      <c r="M243" s="65" t="e">
        <f aca="false">(MIGA_Switch="yes")*((MIGA_Capital_Covered="debt only")*M261+(MIGA_Capital_Covered="debt+equity")*(M261+M277)+(MIGA_Capital_Covered="equity only")*M277)</f>
        <v>#VALUE!</v>
      </c>
      <c r="N243" s="65" t="e">
        <f aca="false">(MIGA_Switch="yes")*((MIGA_Capital_Covered="debt only")*N261+(MIGA_Capital_Covered="debt+equity")*(N261+N277)+(MIGA_Capital_Covered="equity only")*N277)</f>
        <v>#VALUE!</v>
      </c>
      <c r="O243" s="65" t="e">
        <f aca="false">(MIGA_Switch="yes")*((MIGA_Capital_Covered="debt only")*O261+(MIGA_Capital_Covered="debt+equity")*(O261+O277)+(MIGA_Capital_Covered="equity only")*O277)</f>
        <v>#VALUE!</v>
      </c>
      <c r="P243" s="65" t="e">
        <f aca="false">(MIGA_Switch="yes")*((MIGA_Capital_Covered="debt only")*P261+(MIGA_Capital_Covered="debt+equity")*(P261+P277)+(MIGA_Capital_Covered="equity only")*P277)</f>
        <v>#VALUE!</v>
      </c>
      <c r="Q243" s="65" t="e">
        <f aca="false">(MIGA_Switch="yes")*((MIGA_Capital_Covered="debt only")*Q261+(MIGA_Capital_Covered="debt+equity")*(Q261+Q277)+(MIGA_Capital_Covered="equity only")*Q277)</f>
        <v>#VALUE!</v>
      </c>
      <c r="R243" s="65" t="e">
        <f aca="false">(MIGA_Switch="yes")*((MIGA_Capital_Covered="debt only")*R261+(MIGA_Capital_Covered="debt+equity")*(R261+R277)+(MIGA_Capital_Covered="equity only")*R277)</f>
        <v>#VALUE!</v>
      </c>
      <c r="S243" s="65" t="e">
        <f aca="false">(MIGA_Switch="yes")*((MIGA_Capital_Covered="debt only")*S261+(MIGA_Capital_Covered="debt+equity")*(S261+S277)+(MIGA_Capital_Covered="equity only")*S277)</f>
        <v>#VALUE!</v>
      </c>
      <c r="T243" s="65" t="e">
        <f aca="false">(MIGA_Switch="yes")*((MIGA_Capital_Covered="debt only")*T261+(MIGA_Capital_Covered="debt+equity")*(T261+T277)+(MIGA_Capital_Covered="equity only")*T277)</f>
        <v>#VALUE!</v>
      </c>
      <c r="U243" s="65" t="e">
        <f aca="false">(MIGA_Switch="yes")*((MIGA_Capital_Covered="debt only")*U261+(MIGA_Capital_Covered="debt+equity")*(U261+U277)+(MIGA_Capital_Covered="equity only")*U277)</f>
        <v>#VALUE!</v>
      </c>
      <c r="V243" s="65" t="e">
        <f aca="false">(MIGA_Switch="yes")*((MIGA_Capital_Covered="debt only")*V261+(MIGA_Capital_Covered="debt+equity")*(V261+V277)+(MIGA_Capital_Covered="equity only")*V277)</f>
        <v>#VALUE!</v>
      </c>
      <c r="W243" s="65" t="e">
        <f aca="false">(MIGA_Switch="yes")*((MIGA_Capital_Covered="debt only")*W261+(MIGA_Capital_Covered="debt+equity")*(W261+W277)+(MIGA_Capital_Covered="equity only")*W277)</f>
        <v>#VALUE!</v>
      </c>
      <c r="X243" s="65" t="e">
        <f aca="false">(MIGA_Switch="yes")*((MIGA_Capital_Covered="debt only")*X261+(MIGA_Capital_Covered="debt+equity")*(X261+X277)+(MIGA_Capital_Covered="equity only")*X277)</f>
        <v>#VALUE!</v>
      </c>
      <c r="Y243" s="65" t="e">
        <f aca="false">(MIGA_Switch="yes")*((MIGA_Capital_Covered="debt only")*Y261+(MIGA_Capital_Covered="debt+equity")*(Y261+Y277)+(MIGA_Capital_Covered="equity only")*Y277)</f>
        <v>#VALUE!</v>
      </c>
      <c r="Z243" s="65" t="e">
        <f aca="false">(MIGA_Switch="yes")*((MIGA_Capital_Covered="debt only")*Z261+(MIGA_Capital_Covered="debt+equity")*(Z261+Z277)+(MIGA_Capital_Covered="equity only")*Z277)</f>
        <v>#VALUE!</v>
      </c>
      <c r="AA243" s="65" t="e">
        <f aca="false">(MIGA_Switch="yes")*((MIGA_Capital_Covered="debt only")*AA261+(MIGA_Capital_Covered="debt+equity")*(AA261+AA277)+(MIGA_Capital_Covered="equity only")*AA277)</f>
        <v>#VALUE!</v>
      </c>
      <c r="AB243" s="65" t="e">
        <f aca="false">(MIGA_Switch="yes")*((MIGA_Capital_Covered="debt only")*AB261+(MIGA_Capital_Covered="debt+equity")*(AB261+AB277)+(MIGA_Capital_Covered="equity only")*AB277)</f>
        <v>#VALUE!</v>
      </c>
      <c r="AC243" s="65" t="e">
        <f aca="false">(MIGA_Switch="yes")*((MIGA_Capital_Covered="debt only")*AC261+(MIGA_Capital_Covered="debt+equity")*(AC261+AC277)+(MIGA_Capital_Covered="equity only")*AC277)</f>
        <v>#VALUE!</v>
      </c>
      <c r="AD243" s="65" t="e">
        <f aca="false">(MIGA_Switch="yes")*((MIGA_Capital_Covered="debt only")*AD261+(MIGA_Capital_Covered="debt+equity")*(AD261+AD277)+(MIGA_Capital_Covered="equity only")*AD277)</f>
        <v>#VALUE!</v>
      </c>
      <c r="AE243" s="65" t="e">
        <f aca="false">(MIGA_Switch="yes")*((MIGA_Capital_Covered="debt only")*AE261+(MIGA_Capital_Covered="debt+equity")*(AE261+AE277)+(MIGA_Capital_Covered="equity only")*AE277)</f>
        <v>#VALUE!</v>
      </c>
      <c r="AF243" s="65" t="e">
        <f aca="false">(MIGA_Switch="yes")*((MIGA_Capital_Covered="debt only")*AF261+(MIGA_Capital_Covered="debt+equity")*(AF261+AF277)+(MIGA_Capital_Covered="equity only")*AF277)</f>
        <v>#VALUE!</v>
      </c>
      <c r="AG243" s="65" t="e">
        <f aca="false">(MIGA_Switch="yes")*((MIGA_Capital_Covered="debt only")*AG261+(MIGA_Capital_Covered="debt+equity")*(AG261+AG277)+(MIGA_Capital_Covered="equity only")*AG277)</f>
        <v>#VALUE!</v>
      </c>
      <c r="AH243" s="65" t="e">
        <f aca="false">(MIGA_Switch="yes")*((MIGA_Capital_Covered="debt only")*AH261+(MIGA_Capital_Covered="debt+equity")*(AH261+AH277)+(MIGA_Capital_Covered="equity only")*AH277)</f>
        <v>#VALUE!</v>
      </c>
      <c r="AI243" s="65" t="e">
        <f aca="false">(MIGA_Switch="yes")*((MIGA_Capital_Covered="debt only")*AI261+(MIGA_Capital_Covered="debt+equity")*(AI261+AI277)+(MIGA_Capital_Covered="equity only")*AI277)</f>
        <v>#VALUE!</v>
      </c>
      <c r="AJ243" s="65" t="e">
        <f aca="false">(MIGA_Switch="yes")*((MIGA_Capital_Covered="debt only")*AJ261+(MIGA_Capital_Covered="debt+equity")*(AJ261+AJ277)+(MIGA_Capital_Covered="equity only")*AJ277)</f>
        <v>#VALUE!</v>
      </c>
      <c r="AK243" s="65" t="e">
        <f aca="false">(MIGA_Switch="yes")*((MIGA_Capital_Covered="debt only")*AK261+(MIGA_Capital_Covered="debt+equity")*(AK261+AK277)+(MIGA_Capital_Covered="equity only")*AK277)</f>
        <v>#VALUE!</v>
      </c>
      <c r="AL243" s="65" t="e">
        <f aca="false">(MIGA_Switch="yes")*((MIGA_Capital_Covered="debt only")*AL261+(MIGA_Capital_Covered="debt+equity")*(AL261+AL277)+(MIGA_Capital_Covered="equity only")*AL277)</f>
        <v>#VALUE!</v>
      </c>
    </row>
    <row r="244" customFormat="false" ht="15" hidden="false" customHeight="false" outlineLevel="0" collapsed="false">
      <c r="C244" s="117" t="s">
        <v>399</v>
      </c>
      <c r="D244" s="117"/>
      <c r="E244" s="118" t="s">
        <v>72</v>
      </c>
      <c r="F244" s="117"/>
      <c r="G244" s="117"/>
      <c r="H244" s="119"/>
      <c r="I244" s="124" t="e">
        <f aca="false">SUM(I242:I243)</f>
        <v>#VALUE!</v>
      </c>
      <c r="J244" s="124" t="e">
        <f aca="false">SUM(J242:J243)</f>
        <v>#VALUE!</v>
      </c>
      <c r="K244" s="124" t="e">
        <f aca="false">SUM(K242:K243)</f>
        <v>#VALUE!</v>
      </c>
      <c r="L244" s="124" t="e">
        <f aca="false">SUM(L242:L243)</f>
        <v>#VALUE!</v>
      </c>
      <c r="M244" s="124" t="e">
        <f aca="false">SUM(M242:M243)</f>
        <v>#VALUE!</v>
      </c>
      <c r="N244" s="124" t="e">
        <f aca="false">SUM(N242:N243)</f>
        <v>#VALUE!</v>
      </c>
      <c r="O244" s="124" t="e">
        <f aca="false">SUM(O242:O243)</f>
        <v>#VALUE!</v>
      </c>
      <c r="P244" s="124" t="e">
        <f aca="false">SUM(P242:P243)</f>
        <v>#VALUE!</v>
      </c>
      <c r="Q244" s="124" t="e">
        <f aca="false">SUM(Q242:Q243)</f>
        <v>#VALUE!</v>
      </c>
      <c r="R244" s="124" t="e">
        <f aca="false">SUM(R242:R243)</f>
        <v>#VALUE!</v>
      </c>
      <c r="S244" s="124" t="e">
        <f aca="false">SUM(S242:S243)</f>
        <v>#VALUE!</v>
      </c>
      <c r="T244" s="124" t="e">
        <f aca="false">SUM(T242:T243)</f>
        <v>#VALUE!</v>
      </c>
      <c r="U244" s="124" t="e">
        <f aca="false">SUM(U242:U243)</f>
        <v>#VALUE!</v>
      </c>
      <c r="V244" s="124" t="e">
        <f aca="false">SUM(V242:V243)</f>
        <v>#VALUE!</v>
      </c>
      <c r="W244" s="124" t="e">
        <f aca="false">SUM(W242:W243)</f>
        <v>#VALUE!</v>
      </c>
      <c r="X244" s="124" t="e">
        <f aca="false">SUM(X242:X243)</f>
        <v>#VALUE!</v>
      </c>
      <c r="Y244" s="124" t="e">
        <f aca="false">SUM(Y242:Y243)</f>
        <v>#VALUE!</v>
      </c>
      <c r="Z244" s="124" t="e">
        <f aca="false">SUM(Z242:Z243)</f>
        <v>#VALUE!</v>
      </c>
      <c r="AA244" s="124" t="e">
        <f aca="false">SUM(AA242:AA243)</f>
        <v>#VALUE!</v>
      </c>
      <c r="AB244" s="124" t="e">
        <f aca="false">SUM(AB242:AB243)</f>
        <v>#VALUE!</v>
      </c>
      <c r="AC244" s="124" t="e">
        <f aca="false">SUM(AC242:AC243)</f>
        <v>#VALUE!</v>
      </c>
      <c r="AD244" s="124" t="e">
        <f aca="false">SUM(AD242:AD243)</f>
        <v>#VALUE!</v>
      </c>
      <c r="AE244" s="124" t="e">
        <f aca="false">SUM(AE242:AE243)</f>
        <v>#VALUE!</v>
      </c>
      <c r="AF244" s="124" t="e">
        <f aca="false">SUM(AF242:AF243)</f>
        <v>#VALUE!</v>
      </c>
      <c r="AG244" s="124" t="e">
        <f aca="false">SUM(AG242:AG243)</f>
        <v>#VALUE!</v>
      </c>
      <c r="AH244" s="124" t="e">
        <f aca="false">SUM(AH242:AH243)</f>
        <v>#VALUE!</v>
      </c>
      <c r="AI244" s="124" t="e">
        <f aca="false">SUM(AI242:AI243)</f>
        <v>#VALUE!</v>
      </c>
      <c r="AJ244" s="124" t="e">
        <f aca="false">SUM(AJ242:AJ243)</f>
        <v>#VALUE!</v>
      </c>
      <c r="AK244" s="124" t="e">
        <f aca="false">SUM(AK242:AK243)</f>
        <v>#VALUE!</v>
      </c>
      <c r="AL244" s="124" t="e">
        <f aca="false">SUM(AL242:AL243)</f>
        <v>#VALUE!</v>
      </c>
    </row>
    <row r="245" customFormat="false" ht="15" hidden="false" customHeight="false" outlineLevel="0" collapsed="false">
      <c r="E245" s="0"/>
      <c r="H245" s="0"/>
      <c r="I245" s="186"/>
    </row>
    <row r="246" customFormat="false" ht="15" hidden="false" customHeight="false" outlineLevel="0" collapsed="false">
      <c r="C246" s="0" t="s">
        <v>400</v>
      </c>
      <c r="E246" s="104" t="s">
        <v>72</v>
      </c>
      <c r="H246" s="0"/>
      <c r="I246" s="65" t="e">
        <f aca="false">I244*MIGA_Current_Premium*I6</f>
        <v>#VALUE!</v>
      </c>
      <c r="J246" s="65" t="e">
        <f aca="false">J244*MIGA_Current_Premium*J6</f>
        <v>#VALUE!</v>
      </c>
      <c r="K246" s="65" t="e">
        <f aca="false">K244*MIGA_Current_Premium*K6</f>
        <v>#VALUE!</v>
      </c>
      <c r="L246" s="65" t="e">
        <f aca="false">L244*MIGA_Current_Premium*L6</f>
        <v>#VALUE!</v>
      </c>
      <c r="M246" s="65" t="e">
        <f aca="false">M244*MIGA_Current_Premium*M6</f>
        <v>#VALUE!</v>
      </c>
      <c r="N246" s="65" t="e">
        <f aca="false">N244*MIGA_Current_Premium*N6</f>
        <v>#VALUE!</v>
      </c>
      <c r="O246" s="65" t="e">
        <f aca="false">O244*MIGA_Current_Premium*O6</f>
        <v>#VALUE!</v>
      </c>
      <c r="P246" s="65" t="e">
        <f aca="false">P244*MIGA_Current_Premium*P6</f>
        <v>#VALUE!</v>
      </c>
      <c r="Q246" s="65" t="e">
        <f aca="false">Q244*MIGA_Current_Premium*Q6</f>
        <v>#VALUE!</v>
      </c>
      <c r="R246" s="65" t="e">
        <f aca="false">R244*MIGA_Current_Premium*R6</f>
        <v>#VALUE!</v>
      </c>
      <c r="S246" s="65" t="e">
        <f aca="false">S244*MIGA_Current_Premium*S6</f>
        <v>#VALUE!</v>
      </c>
      <c r="T246" s="65" t="e">
        <f aca="false">T244*MIGA_Current_Premium*T6</f>
        <v>#VALUE!</v>
      </c>
      <c r="U246" s="65" t="e">
        <f aca="false">U244*MIGA_Current_Premium*U6</f>
        <v>#VALUE!</v>
      </c>
      <c r="V246" s="65" t="e">
        <f aca="false">V244*MIGA_Current_Premium*V6</f>
        <v>#VALUE!</v>
      </c>
      <c r="W246" s="65" t="e">
        <f aca="false">W244*MIGA_Current_Premium*W6</f>
        <v>#VALUE!</v>
      </c>
      <c r="X246" s="65" t="e">
        <f aca="false">X244*MIGA_Current_Premium*X6</f>
        <v>#VALUE!</v>
      </c>
      <c r="Y246" s="65" t="e">
        <f aca="false">Y244*MIGA_Current_Premium*Y6</f>
        <v>#VALUE!</v>
      </c>
      <c r="Z246" s="65" t="e">
        <f aca="false">Z244*MIGA_Current_Premium*Z6</f>
        <v>#VALUE!</v>
      </c>
      <c r="AA246" s="65" t="e">
        <f aca="false">AA244*MIGA_Current_Premium*AA6</f>
        <v>#VALUE!</v>
      </c>
      <c r="AB246" s="65" t="e">
        <f aca="false">AB244*MIGA_Current_Premium*AB6</f>
        <v>#VALUE!</v>
      </c>
      <c r="AC246" s="65" t="e">
        <f aca="false">AC244*MIGA_Current_Premium*AC6</f>
        <v>#VALUE!</v>
      </c>
      <c r="AD246" s="65" t="e">
        <f aca="false">AD244*MIGA_Current_Premium*AD6</f>
        <v>#VALUE!</v>
      </c>
      <c r="AE246" s="65" t="e">
        <f aca="false">AE244*MIGA_Current_Premium*AE6</f>
        <v>#VALUE!</v>
      </c>
      <c r="AF246" s="65" t="e">
        <f aca="false">AF244*MIGA_Current_Premium*AF6</f>
        <v>#VALUE!</v>
      </c>
      <c r="AG246" s="65" t="e">
        <f aca="false">AG244*MIGA_Current_Premium*AG6</f>
        <v>#VALUE!</v>
      </c>
      <c r="AH246" s="65" t="e">
        <f aca="false">AH244*MIGA_Current_Premium*AH6</f>
        <v>#VALUE!</v>
      </c>
      <c r="AI246" s="65" t="e">
        <f aca="false">AI244*MIGA_Current_Premium*AI6</f>
        <v>#VALUE!</v>
      </c>
      <c r="AJ246" s="65" t="e">
        <f aca="false">AJ244*MIGA_Current_Premium*AJ6</f>
        <v>#VALUE!</v>
      </c>
      <c r="AK246" s="65" t="e">
        <f aca="false">AK244*MIGA_Current_Premium*AK6</f>
        <v>#VALUE!</v>
      </c>
      <c r="AL246" s="65" t="e">
        <f aca="false">AL244*MIGA_Current_Premium*AL6</f>
        <v>#VALUE!</v>
      </c>
    </row>
    <row r="247" customFormat="false" ht="15" hidden="false" customHeight="false" outlineLevel="0" collapsed="false">
      <c r="C247" s="0" t="s">
        <v>401</v>
      </c>
      <c r="E247" s="104" t="s">
        <v>72</v>
      </c>
      <c r="H247" s="0"/>
      <c r="I247" s="65" t="e">
        <f aca="false">I6*(-I246-I244)</f>
        <v>#VALUE!</v>
      </c>
      <c r="J247" s="65" t="e">
        <f aca="false">J6*(-J246-J244)</f>
        <v>#VALUE!</v>
      </c>
      <c r="K247" s="65" t="e">
        <f aca="false">K6*(-K246-K244)</f>
        <v>#VALUE!</v>
      </c>
      <c r="L247" s="65" t="e">
        <f aca="false">L6*(-L246-L244)</f>
        <v>#VALUE!</v>
      </c>
      <c r="M247" s="65" t="e">
        <f aca="false">M6*(-M246-M244)</f>
        <v>#VALUE!</v>
      </c>
      <c r="N247" s="65" t="e">
        <f aca="false">N6*(-N246-N244)</f>
        <v>#VALUE!</v>
      </c>
      <c r="O247" s="65" t="e">
        <f aca="false">O6*(-O246-O244)</f>
        <v>#VALUE!</v>
      </c>
      <c r="P247" s="65" t="e">
        <f aca="false">P6*(-P246-P244)</f>
        <v>#VALUE!</v>
      </c>
      <c r="Q247" s="65" t="e">
        <f aca="false">Q6*(-Q246-Q244)</f>
        <v>#VALUE!</v>
      </c>
      <c r="R247" s="65" t="e">
        <f aca="false">R6*(-R246-R244)</f>
        <v>#VALUE!</v>
      </c>
      <c r="S247" s="65" t="e">
        <f aca="false">S6*(-S246-S244)</f>
        <v>#VALUE!</v>
      </c>
      <c r="T247" s="65" t="e">
        <f aca="false">T6*(-T246-T244)</f>
        <v>#VALUE!</v>
      </c>
      <c r="U247" s="65" t="e">
        <f aca="false">U6*(-U246-U244)</f>
        <v>#VALUE!</v>
      </c>
      <c r="V247" s="65" t="e">
        <f aca="false">V6*(-V246-V244)</f>
        <v>#VALUE!</v>
      </c>
      <c r="W247" s="65" t="e">
        <f aca="false">W6*(-W246-W244)</f>
        <v>#VALUE!</v>
      </c>
      <c r="X247" s="65" t="e">
        <f aca="false">X6*(-X246-X244)</f>
        <v>#VALUE!</v>
      </c>
      <c r="Y247" s="65" t="e">
        <f aca="false">Y6*(-Y246-Y244)</f>
        <v>#VALUE!</v>
      </c>
      <c r="Z247" s="65" t="e">
        <f aca="false">Z6*(-Z246-Z244)</f>
        <v>#VALUE!</v>
      </c>
      <c r="AA247" s="65" t="e">
        <f aca="false">AA6*(-AA246-AA244)</f>
        <v>#VALUE!</v>
      </c>
      <c r="AB247" s="65" t="e">
        <f aca="false">AB6*(-AB246-AB244)</f>
        <v>#VALUE!</v>
      </c>
      <c r="AC247" s="65" t="e">
        <f aca="false">AC6*(-AC246-AC244)</f>
        <v>#VALUE!</v>
      </c>
      <c r="AD247" s="65" t="e">
        <f aca="false">AD6*(-AD246-AD244)</f>
        <v>#VALUE!</v>
      </c>
      <c r="AE247" s="65" t="e">
        <f aca="false">AE6*(-AE246-AE244)</f>
        <v>#VALUE!</v>
      </c>
      <c r="AF247" s="65" t="e">
        <f aca="false">AF6*(-AF246-AF244)</f>
        <v>#VALUE!</v>
      </c>
      <c r="AG247" s="65" t="e">
        <f aca="false">AG6*(-AG246-AG244)</f>
        <v>#VALUE!</v>
      </c>
      <c r="AH247" s="65" t="e">
        <f aca="false">AH6*(-AH246-AH244)</f>
        <v>#VALUE!</v>
      </c>
      <c r="AI247" s="65" t="e">
        <f aca="false">AI6*(-AI246-AI244)</f>
        <v>#VALUE!</v>
      </c>
      <c r="AJ247" s="65" t="e">
        <f aca="false">AJ6*(-AJ246-AJ244)</f>
        <v>#VALUE!</v>
      </c>
      <c r="AK247" s="65" t="e">
        <f aca="false">AK6*(-AK246-AK244)</f>
        <v>#VALUE!</v>
      </c>
      <c r="AL247" s="65" t="e">
        <f aca="false">AL6*(-AL246-AL244)</f>
        <v>#VALUE!</v>
      </c>
    </row>
    <row r="248" customFormat="false" ht="15" hidden="false" customHeight="false" outlineLevel="0" collapsed="false">
      <c r="E248" s="0"/>
      <c r="H248" s="0"/>
    </row>
    <row r="249" customFormat="false" ht="15" hidden="false" customHeight="false" outlineLevel="1" collapsed="false">
      <c r="B249" s="2" t="e">
        <f aca="false">(MAX($A$7:B241)+0.1)</f>
        <v>#VALUE!</v>
      </c>
      <c r="C249" s="2" t="s">
        <v>402</v>
      </c>
      <c r="E249" s="0"/>
      <c r="H249" s="0"/>
    </row>
    <row r="250" customFormat="false" ht="15" hidden="false" customHeight="false" outlineLevel="1" collapsed="false">
      <c r="C250" s="0" t="s">
        <v>403</v>
      </c>
      <c r="E250" s="104" t="s">
        <v>72</v>
      </c>
      <c r="H250" s="0"/>
      <c r="I250" s="65" t="n">
        <f aca="false">I120</f>
        <v>19625364.4342008</v>
      </c>
      <c r="J250" s="65" t="e">
        <f aca="false">J120</f>
        <v>#VALUE!</v>
      </c>
      <c r="K250" s="65" t="e">
        <f aca="false">K120</f>
        <v>#VALUE!</v>
      </c>
      <c r="L250" s="65" t="e">
        <f aca="false">L120</f>
        <v>#VALUE!</v>
      </c>
      <c r="M250" s="65" t="e">
        <f aca="false">M120</f>
        <v>#VALUE!</v>
      </c>
      <c r="N250" s="65" t="e">
        <f aca="false">N120</f>
        <v>#VALUE!</v>
      </c>
      <c r="O250" s="65" t="e">
        <f aca="false">O120</f>
        <v>#VALUE!</v>
      </c>
      <c r="P250" s="65" t="e">
        <f aca="false">P120</f>
        <v>#VALUE!</v>
      </c>
      <c r="Q250" s="65" t="e">
        <f aca="false">Q120</f>
        <v>#VALUE!</v>
      </c>
      <c r="R250" s="65" t="e">
        <f aca="false">R120</f>
        <v>#VALUE!</v>
      </c>
      <c r="S250" s="65" t="e">
        <f aca="false">S120</f>
        <v>#VALUE!</v>
      </c>
      <c r="T250" s="65" t="e">
        <f aca="false">T120</f>
        <v>#VALUE!</v>
      </c>
      <c r="U250" s="65" t="e">
        <f aca="false">U120</f>
        <v>#VALUE!</v>
      </c>
      <c r="V250" s="65" t="e">
        <f aca="false">V120</f>
        <v>#VALUE!</v>
      </c>
      <c r="W250" s="65" t="e">
        <f aca="false">W120</f>
        <v>#VALUE!</v>
      </c>
      <c r="X250" s="65" t="e">
        <f aca="false">X120</f>
        <v>#VALUE!</v>
      </c>
      <c r="Y250" s="65" t="e">
        <f aca="false">Y120</f>
        <v>#VALUE!</v>
      </c>
      <c r="Z250" s="65" t="e">
        <f aca="false">Z120</f>
        <v>#VALUE!</v>
      </c>
      <c r="AA250" s="65" t="e">
        <f aca="false">AA120</f>
        <v>#VALUE!</v>
      </c>
      <c r="AB250" s="65" t="e">
        <f aca="false">AB120</f>
        <v>#VALUE!</v>
      </c>
      <c r="AC250" s="65" t="e">
        <f aca="false">AC120</f>
        <v>#VALUE!</v>
      </c>
      <c r="AD250" s="65" t="e">
        <f aca="false">AD120</f>
        <v>#VALUE!</v>
      </c>
      <c r="AE250" s="65" t="e">
        <f aca="false">AE120</f>
        <v>#VALUE!</v>
      </c>
      <c r="AF250" s="65" t="e">
        <f aca="false">AF120</f>
        <v>#VALUE!</v>
      </c>
      <c r="AG250" s="65" t="e">
        <f aca="false">AG120</f>
        <v>#VALUE!</v>
      </c>
      <c r="AH250" s="65" t="e">
        <f aca="false">AH120</f>
        <v>#VALUE!</v>
      </c>
      <c r="AI250" s="65" t="e">
        <f aca="false">AI120</f>
        <v>#VALUE!</v>
      </c>
      <c r="AJ250" s="65" t="e">
        <f aca="false">AJ120</f>
        <v>#VALUE!</v>
      </c>
      <c r="AK250" s="65" t="e">
        <f aca="false">AK120</f>
        <v>#VALUE!</v>
      </c>
      <c r="AL250" s="65" t="e">
        <f aca="false">AL120</f>
        <v>#VALUE!</v>
      </c>
    </row>
    <row r="251" customFormat="false" ht="15" hidden="false" customHeight="false" outlineLevel="1" collapsed="false">
      <c r="C251" s="0" t="s">
        <v>404</v>
      </c>
      <c r="E251" s="104" t="s">
        <v>72</v>
      </c>
      <c r="H251" s="0"/>
      <c r="I251" s="65" t="n">
        <f aca="false">-I74</f>
        <v>-0</v>
      </c>
      <c r="J251" s="65" t="n">
        <f aca="false">-J74</f>
        <v>-0</v>
      </c>
      <c r="K251" s="65" t="n">
        <f aca="false">-K74</f>
        <v>-0</v>
      </c>
      <c r="L251" s="65" t="n">
        <f aca="false">-L74</f>
        <v>-0</v>
      </c>
      <c r="M251" s="65" t="n">
        <f aca="false">-M74</f>
        <v>-0</v>
      </c>
      <c r="N251" s="65" t="n">
        <f aca="false">-N74</f>
        <v>-0</v>
      </c>
      <c r="O251" s="65" t="n">
        <f aca="false">-O74</f>
        <v>-0</v>
      </c>
      <c r="P251" s="65" t="n">
        <f aca="false">-P74</f>
        <v>-0</v>
      </c>
      <c r="Q251" s="65" t="n">
        <f aca="false">-Q74</f>
        <v>-0</v>
      </c>
      <c r="R251" s="65" t="n">
        <f aca="false">-R74</f>
        <v>-0</v>
      </c>
      <c r="S251" s="65" t="n">
        <f aca="false">-S74</f>
        <v>-0</v>
      </c>
      <c r="T251" s="65" t="n">
        <f aca="false">-T74</f>
        <v>-0</v>
      </c>
      <c r="U251" s="65" t="n">
        <f aca="false">-U74</f>
        <v>-0</v>
      </c>
      <c r="V251" s="65" t="n">
        <f aca="false">-V74</f>
        <v>-0</v>
      </c>
      <c r="W251" s="65" t="n">
        <f aca="false">-W74</f>
        <v>-0</v>
      </c>
      <c r="X251" s="65" t="n">
        <f aca="false">-X74</f>
        <v>-0</v>
      </c>
      <c r="Y251" s="65" t="n">
        <f aca="false">-Y74</f>
        <v>-0</v>
      </c>
      <c r="Z251" s="65" t="n">
        <f aca="false">-Z74</f>
        <v>-0</v>
      </c>
      <c r="AA251" s="65" t="n">
        <f aca="false">-AA74</f>
        <v>-0</v>
      </c>
      <c r="AB251" s="65" t="n">
        <f aca="false">-AB74</f>
        <v>-0</v>
      </c>
      <c r="AC251" s="65" t="n">
        <f aca="false">-AC74</f>
        <v>-0</v>
      </c>
      <c r="AD251" s="65" t="n">
        <f aca="false">-AD74</f>
        <v>-0</v>
      </c>
      <c r="AE251" s="65" t="n">
        <f aca="false">-AE74</f>
        <v>-0</v>
      </c>
      <c r="AF251" s="65" t="n">
        <f aca="false">-AF74</f>
        <v>-0</v>
      </c>
      <c r="AG251" s="65" t="n">
        <f aca="false">-AG74</f>
        <v>-0</v>
      </c>
      <c r="AH251" s="65" t="n">
        <f aca="false">-AH74</f>
        <v>-0</v>
      </c>
      <c r="AI251" s="65" t="n">
        <f aca="false">-AI74</f>
        <v>-0</v>
      </c>
      <c r="AJ251" s="65" t="n">
        <f aca="false">-AJ74</f>
        <v>-0</v>
      </c>
      <c r="AK251" s="65" t="n">
        <f aca="false">-AK74</f>
        <v>-0</v>
      </c>
      <c r="AL251" s="65" t="n">
        <f aca="false">-AL74</f>
        <v>-0</v>
      </c>
    </row>
    <row r="252" customFormat="false" ht="15" hidden="false" customHeight="false" outlineLevel="1" collapsed="false">
      <c r="C252" s="117" t="s">
        <v>405</v>
      </c>
      <c r="D252" s="117"/>
      <c r="E252" s="118" t="s">
        <v>72</v>
      </c>
      <c r="F252" s="117"/>
      <c r="G252" s="117"/>
      <c r="H252" s="119"/>
      <c r="I252" s="124" t="n">
        <f aca="false">SUM(I250:I251)*MIGA_Coverage</f>
        <v>17662827.9907808</v>
      </c>
      <c r="J252" s="124" t="e">
        <f aca="false">SUM(J250:J251)*MIGA_Coverage</f>
        <v>#VALUE!</v>
      </c>
      <c r="K252" s="124" t="e">
        <f aca="false">SUM(K250:K251)*MIGA_Coverage</f>
        <v>#VALUE!</v>
      </c>
      <c r="L252" s="124" t="e">
        <f aca="false">SUM(L250:L251)*MIGA_Coverage</f>
        <v>#VALUE!</v>
      </c>
      <c r="M252" s="124" t="e">
        <f aca="false">SUM(M250:M251)*MIGA_Coverage</f>
        <v>#VALUE!</v>
      </c>
      <c r="N252" s="124" t="e">
        <f aca="false">SUM(N250:N251)*MIGA_Coverage</f>
        <v>#VALUE!</v>
      </c>
      <c r="O252" s="124" t="e">
        <f aca="false">SUM(O250:O251)*MIGA_Coverage</f>
        <v>#VALUE!</v>
      </c>
      <c r="P252" s="124" t="e">
        <f aca="false">SUM(P250:P251)*MIGA_Coverage</f>
        <v>#VALUE!</v>
      </c>
      <c r="Q252" s="124" t="e">
        <f aca="false">SUM(Q250:Q251)*MIGA_Coverage</f>
        <v>#VALUE!</v>
      </c>
      <c r="R252" s="124" t="e">
        <f aca="false">SUM(R250:R251)*MIGA_Coverage</f>
        <v>#VALUE!</v>
      </c>
      <c r="S252" s="124" t="e">
        <f aca="false">SUM(S250:S251)*MIGA_Coverage</f>
        <v>#VALUE!</v>
      </c>
      <c r="T252" s="124" t="e">
        <f aca="false">SUM(T250:T251)*MIGA_Coverage</f>
        <v>#VALUE!</v>
      </c>
      <c r="U252" s="124" t="e">
        <f aca="false">SUM(U250:U251)*MIGA_Coverage</f>
        <v>#VALUE!</v>
      </c>
      <c r="V252" s="124" t="e">
        <f aca="false">SUM(V250:V251)*MIGA_Coverage</f>
        <v>#VALUE!</v>
      </c>
      <c r="W252" s="124" t="e">
        <f aca="false">SUM(W250:W251)*MIGA_Coverage</f>
        <v>#VALUE!</v>
      </c>
      <c r="X252" s="124" t="e">
        <f aca="false">SUM(X250:X251)*MIGA_Coverage</f>
        <v>#VALUE!</v>
      </c>
      <c r="Y252" s="124" t="e">
        <f aca="false">SUM(Y250:Y251)*MIGA_Coverage</f>
        <v>#VALUE!</v>
      </c>
      <c r="Z252" s="124" t="e">
        <f aca="false">SUM(Z250:Z251)*MIGA_Coverage</f>
        <v>#VALUE!</v>
      </c>
      <c r="AA252" s="124" t="e">
        <f aca="false">SUM(AA250:AA251)*MIGA_Coverage</f>
        <v>#VALUE!</v>
      </c>
      <c r="AB252" s="124" t="e">
        <f aca="false">SUM(AB250:AB251)*MIGA_Coverage</f>
        <v>#VALUE!</v>
      </c>
      <c r="AC252" s="124" t="e">
        <f aca="false">SUM(AC250:AC251)*MIGA_Coverage</f>
        <v>#VALUE!</v>
      </c>
      <c r="AD252" s="124" t="e">
        <f aca="false">SUM(AD250:AD251)*MIGA_Coverage</f>
        <v>#VALUE!</v>
      </c>
      <c r="AE252" s="124" t="e">
        <f aca="false">SUM(AE250:AE251)*MIGA_Coverage</f>
        <v>#VALUE!</v>
      </c>
      <c r="AF252" s="124" t="e">
        <f aca="false">SUM(AF250:AF251)*MIGA_Coverage</f>
        <v>#VALUE!</v>
      </c>
      <c r="AG252" s="124" t="e">
        <f aca="false">SUM(AG250:AG251)*MIGA_Coverage</f>
        <v>#VALUE!</v>
      </c>
      <c r="AH252" s="124" t="e">
        <f aca="false">SUM(AH250:AH251)*MIGA_Coverage</f>
        <v>#VALUE!</v>
      </c>
      <c r="AI252" s="124" t="e">
        <f aca="false">SUM(AI250:AI251)*MIGA_Coverage</f>
        <v>#VALUE!</v>
      </c>
      <c r="AJ252" s="124" t="e">
        <f aca="false">SUM(AJ250:AJ251)*MIGA_Coverage</f>
        <v>#VALUE!</v>
      </c>
      <c r="AK252" s="124" t="e">
        <f aca="false">SUM(AK250:AK251)*MIGA_Coverage</f>
        <v>#VALUE!</v>
      </c>
      <c r="AL252" s="124" t="e">
        <f aca="false">SUM(AL250:AL251)*MIGA_Coverage</f>
        <v>#VALUE!</v>
      </c>
    </row>
    <row r="253" customFormat="false" ht="15" hidden="false" customHeight="false" outlineLevel="0" collapsed="false">
      <c r="E253" s="0"/>
      <c r="H253" s="0"/>
    </row>
    <row r="254" customFormat="false" ht="15" hidden="false" customHeight="false" outlineLevel="1" collapsed="false">
      <c r="C254" s="0" t="s">
        <v>397</v>
      </c>
      <c r="E254" s="104" t="s">
        <v>72</v>
      </c>
      <c r="H254" s="0"/>
      <c r="I254" s="65" t="n">
        <f aca="false">-I252*MIGA_Current_Premium</f>
        <v>-317930.903834054</v>
      </c>
      <c r="J254" s="65" t="e">
        <f aca="false">-J252*MIGA_Current_Premium</f>
        <v>#VALUE!</v>
      </c>
      <c r="K254" s="65" t="e">
        <f aca="false">-K252*MIGA_Current_Premium</f>
        <v>#VALUE!</v>
      </c>
      <c r="L254" s="65" t="e">
        <f aca="false">-L252*MIGA_Current_Premium</f>
        <v>#VALUE!</v>
      </c>
      <c r="M254" s="65" t="e">
        <f aca="false">-M252*MIGA_Current_Premium</f>
        <v>#VALUE!</v>
      </c>
      <c r="N254" s="65" t="e">
        <f aca="false">-N252*MIGA_Current_Premium</f>
        <v>#VALUE!</v>
      </c>
      <c r="O254" s="65" t="e">
        <f aca="false">-O252*MIGA_Current_Premium</f>
        <v>#VALUE!</v>
      </c>
      <c r="P254" s="65" t="e">
        <f aca="false">-P252*MIGA_Current_Premium</f>
        <v>#VALUE!</v>
      </c>
      <c r="Q254" s="65" t="e">
        <f aca="false">-Q252*MIGA_Current_Premium</f>
        <v>#VALUE!</v>
      </c>
      <c r="R254" s="65" t="e">
        <f aca="false">-R252*MIGA_Current_Premium</f>
        <v>#VALUE!</v>
      </c>
      <c r="S254" s="65" t="e">
        <f aca="false">-S252*MIGA_Current_Premium</f>
        <v>#VALUE!</v>
      </c>
      <c r="T254" s="65" t="e">
        <f aca="false">-T252*MIGA_Current_Premium</f>
        <v>#VALUE!</v>
      </c>
      <c r="U254" s="65" t="e">
        <f aca="false">-U252*MIGA_Current_Premium</f>
        <v>#VALUE!</v>
      </c>
      <c r="V254" s="65" t="e">
        <f aca="false">-V252*MIGA_Current_Premium</f>
        <v>#VALUE!</v>
      </c>
      <c r="W254" s="65" t="e">
        <f aca="false">-W252*MIGA_Current_Premium</f>
        <v>#VALUE!</v>
      </c>
      <c r="X254" s="65" t="e">
        <f aca="false">-X252*MIGA_Current_Premium</f>
        <v>#VALUE!</v>
      </c>
      <c r="Y254" s="65" t="e">
        <f aca="false">-Y252*MIGA_Current_Premium</f>
        <v>#VALUE!</v>
      </c>
      <c r="Z254" s="65" t="e">
        <f aca="false">-Z252*MIGA_Current_Premium</f>
        <v>#VALUE!</v>
      </c>
      <c r="AA254" s="65" t="e">
        <f aca="false">-AA252*MIGA_Current_Premium</f>
        <v>#VALUE!</v>
      </c>
      <c r="AB254" s="65" t="e">
        <f aca="false">-AB252*MIGA_Current_Premium</f>
        <v>#VALUE!</v>
      </c>
      <c r="AC254" s="65" t="e">
        <f aca="false">-AC252*MIGA_Current_Premium</f>
        <v>#VALUE!</v>
      </c>
      <c r="AD254" s="65" t="e">
        <f aca="false">-AD252*MIGA_Current_Premium</f>
        <v>#VALUE!</v>
      </c>
      <c r="AE254" s="65" t="e">
        <f aca="false">-AE252*MIGA_Current_Premium</f>
        <v>#VALUE!</v>
      </c>
      <c r="AF254" s="65" t="e">
        <f aca="false">-AF252*MIGA_Current_Premium</f>
        <v>#VALUE!</v>
      </c>
      <c r="AG254" s="65" t="e">
        <f aca="false">-AG252*MIGA_Current_Premium</f>
        <v>#VALUE!</v>
      </c>
      <c r="AH254" s="65" t="e">
        <f aca="false">-AH252*MIGA_Current_Premium</f>
        <v>#VALUE!</v>
      </c>
      <c r="AI254" s="65" t="e">
        <f aca="false">-AI252*MIGA_Current_Premium</f>
        <v>#VALUE!</v>
      </c>
      <c r="AJ254" s="65" t="e">
        <f aca="false">-AJ252*MIGA_Current_Premium</f>
        <v>#VALUE!</v>
      </c>
      <c r="AK254" s="65" t="e">
        <f aca="false">-AK252*MIGA_Current_Premium</f>
        <v>#VALUE!</v>
      </c>
      <c r="AL254" s="65" t="e">
        <f aca="false">-AL252*MIGA_Current_Premium</f>
        <v>#VALUE!</v>
      </c>
    </row>
    <row r="255" customFormat="false" ht="15" hidden="false" customHeight="false" outlineLevel="0" collapsed="false">
      <c r="E255" s="0"/>
      <c r="H255" s="0"/>
    </row>
    <row r="256" customFormat="false" ht="15" hidden="false" customHeight="false" outlineLevel="1" collapsed="false">
      <c r="B256" s="2" t="e">
        <f aca="false">(MAX($A$7:B255)+0.1)</f>
        <v>#VALUE!</v>
      </c>
      <c r="C256" s="2" t="s">
        <v>406</v>
      </c>
      <c r="E256" s="0"/>
      <c r="H256" s="0"/>
    </row>
    <row r="257" customFormat="false" ht="15" hidden="false" customHeight="false" outlineLevel="1" collapsed="false">
      <c r="C257" s="0" t="s">
        <v>407</v>
      </c>
      <c r="E257" s="104" t="s">
        <v>72</v>
      </c>
      <c r="H257" s="0"/>
      <c r="I257" s="65" t="n">
        <f aca="false">I6*(Bank_Principal-I250)</f>
        <v>0</v>
      </c>
      <c r="J257" s="65" t="e">
        <f aca="false">J6*(Bank_Principal-J250)</f>
        <v>#VALUE!</v>
      </c>
      <c r="K257" s="65" t="e">
        <f aca="false">K6*(Bank_Principal-K250)</f>
        <v>#VALUE!</v>
      </c>
      <c r="L257" s="65" t="e">
        <f aca="false">L6*(Bank_Principal-L250)</f>
        <v>#VALUE!</v>
      </c>
      <c r="M257" s="65" t="e">
        <f aca="false">M6*(Bank_Principal-M250)</f>
        <v>#VALUE!</v>
      </c>
      <c r="N257" s="65" t="e">
        <f aca="false">N6*(Bank_Principal-N250)</f>
        <v>#VALUE!</v>
      </c>
      <c r="O257" s="65" t="e">
        <f aca="false">O6*(Bank_Principal-O250)</f>
        <v>#VALUE!</v>
      </c>
      <c r="P257" s="65" t="e">
        <f aca="false">P6*(Bank_Principal-P250)</f>
        <v>#VALUE!</v>
      </c>
      <c r="Q257" s="65" t="e">
        <f aca="false">Q6*(Bank_Principal-Q250)</f>
        <v>#VALUE!</v>
      </c>
      <c r="R257" s="65" t="e">
        <f aca="false">R6*(Bank_Principal-R250)</f>
        <v>#VALUE!</v>
      </c>
      <c r="S257" s="65" t="e">
        <f aca="false">S6*(Bank_Principal-S250)</f>
        <v>#VALUE!</v>
      </c>
      <c r="T257" s="65" t="e">
        <f aca="false">T6*(Bank_Principal-T250)</f>
        <v>#VALUE!</v>
      </c>
      <c r="U257" s="65" t="e">
        <f aca="false">U6*(Bank_Principal-U250)</f>
        <v>#VALUE!</v>
      </c>
      <c r="V257" s="65" t="e">
        <f aca="false">V6*(Bank_Principal-V250)</f>
        <v>#VALUE!</v>
      </c>
      <c r="W257" s="65" t="e">
        <f aca="false">W6*(Bank_Principal-W250)</f>
        <v>#VALUE!</v>
      </c>
      <c r="X257" s="65" t="e">
        <f aca="false">X6*(Bank_Principal-X250)</f>
        <v>#VALUE!</v>
      </c>
      <c r="Y257" s="65" t="e">
        <f aca="false">Y6*(Bank_Principal-Y250)</f>
        <v>#VALUE!</v>
      </c>
      <c r="Z257" s="65" t="e">
        <f aca="false">Z6*(Bank_Principal-Z250)</f>
        <v>#VALUE!</v>
      </c>
      <c r="AA257" s="65" t="e">
        <f aca="false">AA6*(Bank_Principal-AA250)</f>
        <v>#VALUE!</v>
      </c>
      <c r="AB257" s="65" t="e">
        <f aca="false">AB6*(Bank_Principal-AB250)</f>
        <v>#VALUE!</v>
      </c>
      <c r="AC257" s="65" t="e">
        <f aca="false">AC6*(Bank_Principal-AC250)</f>
        <v>#VALUE!</v>
      </c>
      <c r="AD257" s="65" t="e">
        <f aca="false">AD6*(Bank_Principal-AD250)</f>
        <v>#VALUE!</v>
      </c>
      <c r="AE257" s="65" t="e">
        <f aca="false">AE6*(Bank_Principal-AE250)</f>
        <v>#VALUE!</v>
      </c>
      <c r="AF257" s="65" t="e">
        <f aca="false">AF6*(Bank_Principal-AF250)</f>
        <v>#VALUE!</v>
      </c>
      <c r="AG257" s="65" t="e">
        <f aca="false">AG6*(Bank_Principal-AG250)</f>
        <v>#VALUE!</v>
      </c>
      <c r="AH257" s="65" t="e">
        <f aca="false">AH6*(Bank_Principal-AH250)</f>
        <v>#VALUE!</v>
      </c>
      <c r="AI257" s="65" t="e">
        <f aca="false">AI6*(Bank_Principal-AI250)</f>
        <v>#VALUE!</v>
      </c>
      <c r="AJ257" s="65" t="e">
        <f aca="false">AJ6*(Bank_Principal-AJ250)</f>
        <v>#VALUE!</v>
      </c>
      <c r="AK257" s="65" t="e">
        <f aca="false">AK6*(Bank_Principal-AK250)</f>
        <v>#VALUE!</v>
      </c>
      <c r="AL257" s="65" t="e">
        <f aca="false">AL6*(Bank_Principal-AL250)</f>
        <v>#VALUE!</v>
      </c>
    </row>
    <row r="258" customFormat="false" ht="15" hidden="false" customHeight="false" outlineLevel="1" collapsed="false">
      <c r="C258" s="0" t="s">
        <v>408</v>
      </c>
      <c r="E258" s="104" t="s">
        <v>72</v>
      </c>
      <c r="G258" s="162" t="n">
        <v>-25721049.455939</v>
      </c>
      <c r="H258" s="0"/>
      <c r="I258" s="65" t="n">
        <f aca="false">IF(Bank_Terms="DSCR",-(Bank_Loan_Interest_Value+SUM($I$251:I251)),-(Bank_Loan_Interest_Total+SUM($I$251:I251)))</f>
        <v>-0</v>
      </c>
      <c r="J258" s="65" t="n">
        <f aca="false">IF(Bank_Terms="DSCR",-(Bank_Loan_Interest_Value+SUM($I$251:J251)),-(Bank_Loan_Interest_Total+SUM($I$251:J251)))</f>
        <v>-0</v>
      </c>
      <c r="K258" s="65" t="n">
        <f aca="false">IF(Bank_Terms="DSCR",-(Bank_Loan_Interest_Value+SUM($I$251:K251)),-(Bank_Loan_Interest_Total+SUM($I$251:K251)))</f>
        <v>-0</v>
      </c>
      <c r="L258" s="65" t="n">
        <f aca="false">IF(Bank_Terms="DSCR",-(Bank_Loan_Interest_Value+SUM($I$251:L251)),-(Bank_Loan_Interest_Total+SUM($I$251:L251)))</f>
        <v>-0</v>
      </c>
      <c r="M258" s="65" t="n">
        <f aca="false">IF(Bank_Terms="DSCR",-(Bank_Loan_Interest_Value+SUM($I$251:M251)),-(Bank_Loan_Interest_Total+SUM($I$251:M251)))</f>
        <v>-0</v>
      </c>
      <c r="N258" s="65" t="n">
        <f aca="false">IF(Bank_Terms="DSCR",-(Bank_Loan_Interest_Value+SUM($I$251:N251)),-(Bank_Loan_Interest_Total+SUM($I$251:N251)))</f>
        <v>-0</v>
      </c>
      <c r="O258" s="65" t="n">
        <f aca="false">IF(Bank_Terms="DSCR",-(Bank_Loan_Interest_Value+SUM($I$251:O251)),-(Bank_Loan_Interest_Total+SUM($I$251:O251)))</f>
        <v>-0</v>
      </c>
      <c r="P258" s="65" t="n">
        <f aca="false">IF(Bank_Terms="DSCR",-(Bank_Loan_Interest_Value+SUM($I$251:P251)),-(Bank_Loan_Interest_Total+SUM($I$251:P251)))</f>
        <v>-0</v>
      </c>
      <c r="Q258" s="65" t="n">
        <f aca="false">IF(Bank_Terms="DSCR",-(Bank_Loan_Interest_Value+SUM($I$251:Q251)),-(Bank_Loan_Interest_Total+SUM($I$251:Q251)))</f>
        <v>-0</v>
      </c>
      <c r="R258" s="65" t="n">
        <f aca="false">IF(Bank_Terms="DSCR",-(Bank_Loan_Interest_Value+SUM($I$251:R251)),-(Bank_Loan_Interest_Total+SUM($I$251:R251)))</f>
        <v>-0</v>
      </c>
      <c r="S258" s="65" t="n">
        <f aca="false">IF(Bank_Terms="DSCR",-(Bank_Loan_Interest_Value+SUM($I$251:S251)),-(Bank_Loan_Interest_Total+SUM($I$251:S251)))</f>
        <v>-0</v>
      </c>
      <c r="T258" s="65" t="n">
        <f aca="false">IF(Bank_Terms="DSCR",-(Bank_Loan_Interest_Value+SUM($I$251:T251)),-(Bank_Loan_Interest_Total+SUM($I$251:T251)))</f>
        <v>-0</v>
      </c>
      <c r="U258" s="65" t="n">
        <f aca="false">IF(Bank_Terms="DSCR",-(Bank_Loan_Interest_Value+SUM($I$251:U251)),-(Bank_Loan_Interest_Total+SUM($I$251:U251)))</f>
        <v>-0</v>
      </c>
      <c r="V258" s="65" t="n">
        <f aca="false">IF(Bank_Terms="DSCR",-(Bank_Loan_Interest_Value+SUM($I$251:V251)),-(Bank_Loan_Interest_Total+SUM($I$251:V251)))</f>
        <v>-0</v>
      </c>
      <c r="W258" s="65" t="n">
        <f aca="false">IF(Bank_Terms="DSCR",-(Bank_Loan_Interest_Value+SUM($I$251:W251)),-(Bank_Loan_Interest_Total+SUM($I$251:W251)))</f>
        <v>-0</v>
      </c>
      <c r="X258" s="65" t="n">
        <f aca="false">IF(Bank_Terms="DSCR",-(Bank_Loan_Interest_Value+SUM($I$251:X251)),-(Bank_Loan_Interest_Total+SUM($I$251:X251)))</f>
        <v>-0</v>
      </c>
      <c r="Y258" s="65" t="n">
        <f aca="false">IF(Bank_Terms="DSCR",-(Bank_Loan_Interest_Value+SUM($I$251:Y251)),-(Bank_Loan_Interest_Total+SUM($I$251:Y251)))</f>
        <v>-0</v>
      </c>
      <c r="Z258" s="65" t="n">
        <f aca="false">IF(Bank_Terms="DSCR",-(Bank_Loan_Interest_Value+SUM($I$251:Z251)),-(Bank_Loan_Interest_Total+SUM($I$251:Z251)))</f>
        <v>-0</v>
      </c>
      <c r="AA258" s="65" t="n">
        <f aca="false">IF(Bank_Terms="DSCR",-(Bank_Loan_Interest_Value+SUM($I$251:AA251)),-(Bank_Loan_Interest_Total+SUM($I$251:AA251)))</f>
        <v>-0</v>
      </c>
      <c r="AB258" s="65" t="n">
        <f aca="false">IF(Bank_Terms="DSCR",-(Bank_Loan_Interest_Value+SUM($I$251:AB251)),-(Bank_Loan_Interest_Total+SUM($I$251:AB251)))</f>
        <v>-0</v>
      </c>
      <c r="AC258" s="65" t="n">
        <f aca="false">IF(Bank_Terms="DSCR",-(Bank_Loan_Interest_Value+SUM($I$251:AC251)),-(Bank_Loan_Interest_Total+SUM($I$251:AC251)))</f>
        <v>-0</v>
      </c>
      <c r="AD258" s="65" t="n">
        <f aca="false">IF(Bank_Terms="DSCR",-(Bank_Loan_Interest_Value+SUM($I$251:AD251)),-(Bank_Loan_Interest_Total+SUM($I$251:AD251)))</f>
        <v>-0</v>
      </c>
      <c r="AE258" s="65" t="n">
        <f aca="false">IF(Bank_Terms="DSCR",-(Bank_Loan_Interest_Value+SUM($I$251:AE251)),-(Bank_Loan_Interest_Total+SUM($I$251:AE251)))</f>
        <v>-0</v>
      </c>
      <c r="AF258" s="65" t="n">
        <f aca="false">IF(Bank_Terms="DSCR",-(Bank_Loan_Interest_Value+SUM($I$251:AF251)),-(Bank_Loan_Interest_Total+SUM($I$251:AF251)))</f>
        <v>-0</v>
      </c>
      <c r="AG258" s="65" t="n">
        <f aca="false">IF(Bank_Terms="DSCR",-(Bank_Loan_Interest_Value+SUM($I$251:AG251)),-(Bank_Loan_Interest_Total+SUM($I$251:AG251)))</f>
        <v>-0</v>
      </c>
      <c r="AH258" s="65" t="n">
        <f aca="false">IF(Bank_Terms="DSCR",-(Bank_Loan_Interest_Value+SUM($I$251:AH251)),-(Bank_Loan_Interest_Total+SUM($I$251:AH251)))</f>
        <v>-0</v>
      </c>
      <c r="AI258" s="65" t="n">
        <f aca="false">IF(Bank_Terms="DSCR",-(Bank_Loan_Interest_Value+SUM($I$251:AI251)),-(Bank_Loan_Interest_Total+SUM($I$251:AI251)))</f>
        <v>-0</v>
      </c>
      <c r="AJ258" s="65" t="n">
        <f aca="false">IF(Bank_Terms="DSCR",-(Bank_Loan_Interest_Value+SUM($I$251:AJ251)),-(Bank_Loan_Interest_Total+SUM($I$251:AJ251)))</f>
        <v>-0</v>
      </c>
      <c r="AK258" s="65" t="n">
        <f aca="false">IF(Bank_Terms="DSCR",-(Bank_Loan_Interest_Value+SUM($I$251:AK251)),-(Bank_Loan_Interest_Total+SUM($I$251:AK251)))</f>
        <v>-0</v>
      </c>
      <c r="AL258" s="65" t="n">
        <f aca="false">IF(Bank_Terms="DSCR",-(Bank_Loan_Interest_Value+SUM($I$251:AL251)),-(Bank_Loan_Interest_Total+SUM($I$251:AL251)))</f>
        <v>-0</v>
      </c>
    </row>
    <row r="259" customFormat="false" ht="15" hidden="false" customHeight="false" outlineLevel="1" collapsed="false">
      <c r="C259" s="117" t="s">
        <v>405</v>
      </c>
      <c r="D259" s="117"/>
      <c r="E259" s="118" t="s">
        <v>72</v>
      </c>
      <c r="F259" s="117"/>
      <c r="G259" s="117"/>
      <c r="H259" s="119"/>
      <c r="I259" s="124" t="n">
        <f aca="false">SUM(I257:I258)*MIGA_Coverage</f>
        <v>0</v>
      </c>
      <c r="J259" s="124" t="e">
        <f aca="false">SUM(J257:J258)*MIGA_Coverage</f>
        <v>#VALUE!</v>
      </c>
      <c r="K259" s="124" t="e">
        <f aca="false">SUM(K257:K258)*MIGA_Coverage</f>
        <v>#VALUE!</v>
      </c>
      <c r="L259" s="124" t="e">
        <f aca="false">SUM(L257:L258)*MIGA_Coverage</f>
        <v>#VALUE!</v>
      </c>
      <c r="M259" s="124" t="e">
        <f aca="false">SUM(M257:M258)*MIGA_Coverage</f>
        <v>#VALUE!</v>
      </c>
      <c r="N259" s="124" t="e">
        <f aca="false">SUM(N257:N258)*MIGA_Coverage</f>
        <v>#VALUE!</v>
      </c>
      <c r="O259" s="124" t="e">
        <f aca="false">SUM(O257:O258)*MIGA_Coverage</f>
        <v>#VALUE!</v>
      </c>
      <c r="P259" s="124" t="e">
        <f aca="false">SUM(P257:P258)*MIGA_Coverage</f>
        <v>#VALUE!</v>
      </c>
      <c r="Q259" s="124" t="e">
        <f aca="false">SUM(Q257:Q258)*MIGA_Coverage</f>
        <v>#VALUE!</v>
      </c>
      <c r="R259" s="124" t="e">
        <f aca="false">SUM(R257:R258)*MIGA_Coverage</f>
        <v>#VALUE!</v>
      </c>
      <c r="S259" s="124" t="e">
        <f aca="false">SUM(S257:S258)*MIGA_Coverage</f>
        <v>#VALUE!</v>
      </c>
      <c r="T259" s="124" t="e">
        <f aca="false">SUM(T257:T258)*MIGA_Coverage</f>
        <v>#VALUE!</v>
      </c>
      <c r="U259" s="124" t="e">
        <f aca="false">SUM(U257:U258)*MIGA_Coverage</f>
        <v>#VALUE!</v>
      </c>
      <c r="V259" s="124" t="e">
        <f aca="false">SUM(V257:V258)*MIGA_Coverage</f>
        <v>#VALUE!</v>
      </c>
      <c r="W259" s="124" t="e">
        <f aca="false">SUM(W257:W258)*MIGA_Coverage</f>
        <v>#VALUE!</v>
      </c>
      <c r="X259" s="124" t="e">
        <f aca="false">SUM(X257:X258)*MIGA_Coverage</f>
        <v>#VALUE!</v>
      </c>
      <c r="Y259" s="124" t="e">
        <f aca="false">SUM(Y257:Y258)*MIGA_Coverage</f>
        <v>#VALUE!</v>
      </c>
      <c r="Z259" s="124" t="e">
        <f aca="false">SUM(Z257:Z258)*MIGA_Coverage</f>
        <v>#VALUE!</v>
      </c>
      <c r="AA259" s="124" t="e">
        <f aca="false">SUM(AA257:AA258)*MIGA_Coverage</f>
        <v>#VALUE!</v>
      </c>
      <c r="AB259" s="124" t="e">
        <f aca="false">SUM(AB257:AB258)*MIGA_Coverage</f>
        <v>#VALUE!</v>
      </c>
      <c r="AC259" s="124" t="e">
        <f aca="false">SUM(AC257:AC258)*MIGA_Coverage</f>
        <v>#VALUE!</v>
      </c>
      <c r="AD259" s="124" t="e">
        <f aca="false">SUM(AD257:AD258)*MIGA_Coverage</f>
        <v>#VALUE!</v>
      </c>
      <c r="AE259" s="124" t="e">
        <f aca="false">SUM(AE257:AE258)*MIGA_Coverage</f>
        <v>#VALUE!</v>
      </c>
      <c r="AF259" s="124" t="e">
        <f aca="false">SUM(AF257:AF258)*MIGA_Coverage</f>
        <v>#VALUE!</v>
      </c>
      <c r="AG259" s="124" t="e">
        <f aca="false">SUM(AG257:AG258)*MIGA_Coverage</f>
        <v>#VALUE!</v>
      </c>
      <c r="AH259" s="124" t="e">
        <f aca="false">SUM(AH257:AH258)*MIGA_Coverage</f>
        <v>#VALUE!</v>
      </c>
      <c r="AI259" s="124" t="e">
        <f aca="false">SUM(AI257:AI258)*MIGA_Coverage</f>
        <v>#VALUE!</v>
      </c>
      <c r="AJ259" s="124" t="e">
        <f aca="false">SUM(AJ257:AJ258)*MIGA_Coverage</f>
        <v>#VALUE!</v>
      </c>
      <c r="AK259" s="124" t="e">
        <f aca="false">SUM(AK257:AK258)*MIGA_Coverage</f>
        <v>#VALUE!</v>
      </c>
      <c r="AL259" s="124" t="e">
        <f aca="false">SUM(AL257:AL258)*MIGA_Coverage</f>
        <v>#VALUE!</v>
      </c>
    </row>
    <row r="260" customFormat="false" ht="15" hidden="false" customHeight="false" outlineLevel="0" collapsed="false">
      <c r="E260" s="0"/>
      <c r="H260" s="0"/>
    </row>
    <row r="261" customFormat="false" ht="15" hidden="false" customHeight="false" outlineLevel="1" collapsed="false">
      <c r="C261" s="0" t="s">
        <v>398</v>
      </c>
      <c r="E261" s="104" t="s">
        <v>72</v>
      </c>
      <c r="H261" s="0"/>
      <c r="I261" s="65" t="n">
        <f aca="false">-I259*MIGA_Standby_Rate</f>
        <v>-0</v>
      </c>
      <c r="J261" s="65" t="e">
        <f aca="false">-J259*MIGA_Standby_Rate</f>
        <v>#VALUE!</v>
      </c>
      <c r="K261" s="65" t="e">
        <f aca="false">-K259*MIGA_Standby_Rate</f>
        <v>#VALUE!</v>
      </c>
      <c r="L261" s="65" t="e">
        <f aca="false">-L259*MIGA_Standby_Rate</f>
        <v>#VALUE!</v>
      </c>
      <c r="M261" s="65" t="e">
        <f aca="false">-M259*MIGA_Standby_Rate</f>
        <v>#VALUE!</v>
      </c>
      <c r="N261" s="65" t="e">
        <f aca="false">-N259*MIGA_Standby_Rate</f>
        <v>#VALUE!</v>
      </c>
      <c r="O261" s="65" t="e">
        <f aca="false">-O259*MIGA_Standby_Rate</f>
        <v>#VALUE!</v>
      </c>
      <c r="P261" s="65" t="e">
        <f aca="false">-P259*MIGA_Standby_Rate</f>
        <v>#VALUE!</v>
      </c>
      <c r="Q261" s="65" t="e">
        <f aca="false">-Q259*MIGA_Standby_Rate</f>
        <v>#VALUE!</v>
      </c>
      <c r="R261" s="65" t="e">
        <f aca="false">-R259*MIGA_Standby_Rate</f>
        <v>#VALUE!</v>
      </c>
      <c r="S261" s="65" t="e">
        <f aca="false">-S259*MIGA_Standby_Rate</f>
        <v>#VALUE!</v>
      </c>
      <c r="T261" s="65" t="e">
        <f aca="false">-T259*MIGA_Standby_Rate</f>
        <v>#VALUE!</v>
      </c>
      <c r="U261" s="65" t="e">
        <f aca="false">-U259*MIGA_Standby_Rate</f>
        <v>#VALUE!</v>
      </c>
      <c r="V261" s="65" t="e">
        <f aca="false">-V259*MIGA_Standby_Rate</f>
        <v>#VALUE!</v>
      </c>
      <c r="W261" s="65" t="e">
        <f aca="false">-W259*MIGA_Standby_Rate</f>
        <v>#VALUE!</v>
      </c>
      <c r="X261" s="65" t="e">
        <f aca="false">-X259*MIGA_Standby_Rate</f>
        <v>#VALUE!</v>
      </c>
      <c r="Y261" s="65" t="e">
        <f aca="false">-Y259*MIGA_Standby_Rate</f>
        <v>#VALUE!</v>
      </c>
      <c r="Z261" s="65" t="e">
        <f aca="false">-Z259*MIGA_Standby_Rate</f>
        <v>#VALUE!</v>
      </c>
      <c r="AA261" s="65" t="e">
        <f aca="false">-AA259*MIGA_Standby_Rate</f>
        <v>#VALUE!</v>
      </c>
      <c r="AB261" s="65" t="e">
        <f aca="false">-AB259*MIGA_Standby_Rate</f>
        <v>#VALUE!</v>
      </c>
      <c r="AC261" s="65" t="e">
        <f aca="false">-AC259*MIGA_Standby_Rate</f>
        <v>#VALUE!</v>
      </c>
      <c r="AD261" s="65" t="e">
        <f aca="false">-AD259*MIGA_Standby_Rate</f>
        <v>#VALUE!</v>
      </c>
      <c r="AE261" s="65" t="e">
        <f aca="false">-AE259*MIGA_Standby_Rate</f>
        <v>#VALUE!</v>
      </c>
      <c r="AF261" s="65" t="e">
        <f aca="false">-AF259*MIGA_Standby_Rate</f>
        <v>#VALUE!</v>
      </c>
      <c r="AG261" s="65" t="e">
        <f aca="false">-AG259*MIGA_Standby_Rate</f>
        <v>#VALUE!</v>
      </c>
      <c r="AH261" s="65" t="e">
        <f aca="false">-AH259*MIGA_Standby_Rate</f>
        <v>#VALUE!</v>
      </c>
      <c r="AI261" s="65" t="e">
        <f aca="false">-AI259*MIGA_Standby_Rate</f>
        <v>#VALUE!</v>
      </c>
      <c r="AJ261" s="65" t="e">
        <f aca="false">-AJ259*MIGA_Standby_Rate</f>
        <v>#VALUE!</v>
      </c>
      <c r="AK261" s="65" t="e">
        <f aca="false">-AK259*MIGA_Standby_Rate</f>
        <v>#VALUE!</v>
      </c>
      <c r="AL261" s="65" t="e">
        <f aca="false">-AL259*MIGA_Standby_Rate</f>
        <v>#VALUE!</v>
      </c>
    </row>
    <row r="262" customFormat="false" ht="15" hidden="false" customHeight="false" outlineLevel="1" collapsed="false">
      <c r="C262" s="0" t="s">
        <v>409</v>
      </c>
      <c r="E262" s="104" t="s">
        <v>72</v>
      </c>
      <c r="H262" s="0"/>
      <c r="I262" s="65" t="n">
        <f aca="false">-MIGA_Admin_Fee*(I259+I252)*I$8</f>
        <v>-35325.6559815616</v>
      </c>
      <c r="J262" s="65" t="e">
        <f aca="false">-MIGA_Admin_Fee*(J259+J252)*J$8</f>
        <v>#VALUE!</v>
      </c>
      <c r="K262" s="65" t="e">
        <f aca="false">-MIGA_Admin_Fee*(K259+K252)*K$8</f>
        <v>#VALUE!</v>
      </c>
      <c r="L262" s="65" t="e">
        <f aca="false">-MIGA_Admin_Fee*(L259+L252)*L$8</f>
        <v>#VALUE!</v>
      </c>
      <c r="M262" s="65" t="e">
        <f aca="false">-MIGA_Admin_Fee*(M259+M252)*M$8</f>
        <v>#VALUE!</v>
      </c>
      <c r="N262" s="65" t="e">
        <f aca="false">-MIGA_Admin_Fee*(N259+N252)*N$8</f>
        <v>#VALUE!</v>
      </c>
      <c r="O262" s="65" t="e">
        <f aca="false">-MIGA_Admin_Fee*(O259+O252)*O$8</f>
        <v>#VALUE!</v>
      </c>
      <c r="P262" s="65" t="e">
        <f aca="false">-MIGA_Admin_Fee*(P259+P252)*P$8</f>
        <v>#VALUE!</v>
      </c>
      <c r="Q262" s="65" t="e">
        <f aca="false">-MIGA_Admin_Fee*(Q259+Q252)*Q$8</f>
        <v>#VALUE!</v>
      </c>
      <c r="R262" s="65" t="e">
        <f aca="false">-MIGA_Admin_Fee*(R259+R252)*R$8</f>
        <v>#VALUE!</v>
      </c>
      <c r="S262" s="65" t="e">
        <f aca="false">-MIGA_Admin_Fee*(S259+S252)*S$8</f>
        <v>#VALUE!</v>
      </c>
      <c r="T262" s="65" t="e">
        <f aca="false">-MIGA_Admin_Fee*(T259+T252)*T$8</f>
        <v>#VALUE!</v>
      </c>
      <c r="U262" s="65" t="e">
        <f aca="false">-MIGA_Admin_Fee*(U259+U252)*U$8</f>
        <v>#VALUE!</v>
      </c>
      <c r="V262" s="65" t="e">
        <f aca="false">-MIGA_Admin_Fee*(V259+V252)*V$8</f>
        <v>#VALUE!</v>
      </c>
      <c r="W262" s="65" t="e">
        <f aca="false">-MIGA_Admin_Fee*(W259+W252)*W$8</f>
        <v>#VALUE!</v>
      </c>
      <c r="X262" s="65" t="e">
        <f aca="false">-MIGA_Admin_Fee*(X259+X252)*X$8</f>
        <v>#VALUE!</v>
      </c>
      <c r="Y262" s="65" t="e">
        <f aca="false">-MIGA_Admin_Fee*(Y259+Y252)*Y$8</f>
        <v>#VALUE!</v>
      </c>
      <c r="Z262" s="65" t="e">
        <f aca="false">-MIGA_Admin_Fee*(Z259+Z252)*Z$8</f>
        <v>#VALUE!</v>
      </c>
      <c r="AA262" s="65" t="e">
        <f aca="false">-MIGA_Admin_Fee*(AA259+AA252)*AA$8</f>
        <v>#VALUE!</v>
      </c>
      <c r="AB262" s="65" t="e">
        <f aca="false">-MIGA_Admin_Fee*(AB259+AB252)*AB$8</f>
        <v>#VALUE!</v>
      </c>
      <c r="AC262" s="65" t="e">
        <f aca="false">-MIGA_Admin_Fee*(AC259+AC252)*AC$8</f>
        <v>#VALUE!</v>
      </c>
      <c r="AD262" s="65" t="e">
        <f aca="false">-MIGA_Admin_Fee*(AD259+AD252)*AD$8</f>
        <v>#VALUE!</v>
      </c>
      <c r="AE262" s="65" t="e">
        <f aca="false">-MIGA_Admin_Fee*(AE259+AE252)*AE$8</f>
        <v>#VALUE!</v>
      </c>
      <c r="AF262" s="65" t="e">
        <f aca="false">-MIGA_Admin_Fee*(AF259+AF252)*AF$8</f>
        <v>#VALUE!</v>
      </c>
      <c r="AG262" s="65" t="e">
        <f aca="false">-MIGA_Admin_Fee*(AG259+AG252)*AG$8</f>
        <v>#VALUE!</v>
      </c>
      <c r="AH262" s="65" t="e">
        <f aca="false">-MIGA_Admin_Fee*(AH259+AH252)*AH$8</f>
        <v>#VALUE!</v>
      </c>
      <c r="AI262" s="65" t="e">
        <f aca="false">-MIGA_Admin_Fee*(AI259+AI252)*AI$8</f>
        <v>#VALUE!</v>
      </c>
      <c r="AJ262" s="65" t="e">
        <f aca="false">-MIGA_Admin_Fee*(AJ259+AJ252)*AJ$8</f>
        <v>#VALUE!</v>
      </c>
      <c r="AK262" s="65" t="e">
        <f aca="false">-MIGA_Admin_Fee*(AK259+AK252)*AK$8</f>
        <v>#VALUE!</v>
      </c>
      <c r="AL262" s="65" t="e">
        <f aca="false">-MIGA_Admin_Fee*(AL259+AL252)*AL$8</f>
        <v>#VALUE!</v>
      </c>
    </row>
    <row r="263" customFormat="false" ht="15" hidden="false" customHeight="false" outlineLevel="0" collapsed="false">
      <c r="E263" s="0"/>
      <c r="H263" s="0"/>
    </row>
    <row r="264" customFormat="false" ht="15" hidden="false" customHeight="false" outlineLevel="1" collapsed="false">
      <c r="B264" s="2" t="e">
        <f aca="false">(MAX($A$7:B263)+0.1)</f>
        <v>#VALUE!</v>
      </c>
      <c r="C264" s="2" t="s">
        <v>410</v>
      </c>
      <c r="E264" s="0"/>
      <c r="H264" s="0"/>
    </row>
    <row r="265" customFormat="false" ht="15" hidden="false" customHeight="false" outlineLevel="1" collapsed="false">
      <c r="C265" s="0" t="s">
        <v>411</v>
      </c>
      <c r="E265" s="104" t="s">
        <v>72</v>
      </c>
      <c r="H265" s="0"/>
      <c r="I265" s="133" t="e">
        <f aca="false">I145</f>
        <v>#VALUE!</v>
      </c>
      <c r="J265" s="133" t="e">
        <f aca="false">J145</f>
        <v>#VALUE!</v>
      </c>
      <c r="K265" s="133" t="e">
        <f aca="false">K145</f>
        <v>#VALUE!</v>
      </c>
      <c r="L265" s="133" t="e">
        <f aca="false">L145</f>
        <v>#VALUE!</v>
      </c>
      <c r="M265" s="133" t="e">
        <f aca="false">M145</f>
        <v>#VALUE!</v>
      </c>
      <c r="N265" s="133" t="e">
        <f aca="false">N145</f>
        <v>#VALUE!</v>
      </c>
      <c r="O265" s="133" t="e">
        <f aca="false">O145</f>
        <v>#VALUE!</v>
      </c>
      <c r="P265" s="133" t="e">
        <f aca="false">P145</f>
        <v>#VALUE!</v>
      </c>
      <c r="Q265" s="133" t="e">
        <f aca="false">Q145</f>
        <v>#VALUE!</v>
      </c>
      <c r="R265" s="133" t="e">
        <f aca="false">R145</f>
        <v>#VALUE!</v>
      </c>
      <c r="S265" s="133" t="e">
        <f aca="false">S145</f>
        <v>#VALUE!</v>
      </c>
      <c r="T265" s="133" t="e">
        <f aca="false">T145</f>
        <v>#VALUE!</v>
      </c>
      <c r="U265" s="133" t="e">
        <f aca="false">U145</f>
        <v>#VALUE!</v>
      </c>
      <c r="V265" s="133" t="e">
        <f aca="false">V145</f>
        <v>#VALUE!</v>
      </c>
      <c r="W265" s="133" t="e">
        <f aca="false">W145</f>
        <v>#VALUE!</v>
      </c>
      <c r="X265" s="133" t="e">
        <f aca="false">X145</f>
        <v>#VALUE!</v>
      </c>
      <c r="Y265" s="133" t="e">
        <f aca="false">Y145</f>
        <v>#VALUE!</v>
      </c>
      <c r="Z265" s="133" t="e">
        <f aca="false">Z145</f>
        <v>#VALUE!</v>
      </c>
      <c r="AA265" s="133" t="e">
        <f aca="false">AA145</f>
        <v>#VALUE!</v>
      </c>
      <c r="AB265" s="133" t="e">
        <f aca="false">AB145</f>
        <v>#VALUE!</v>
      </c>
      <c r="AC265" s="133" t="e">
        <f aca="false">AC145</f>
        <v>#VALUE!</v>
      </c>
      <c r="AD265" s="133" t="e">
        <f aca="false">AD145</f>
        <v>#VALUE!</v>
      </c>
      <c r="AE265" s="133" t="e">
        <f aca="false">AE145</f>
        <v>#VALUE!</v>
      </c>
      <c r="AF265" s="133" t="e">
        <f aca="false">AF145</f>
        <v>#VALUE!</v>
      </c>
      <c r="AG265" s="133" t="e">
        <f aca="false">AG145</f>
        <v>#VALUE!</v>
      </c>
      <c r="AH265" s="133" t="e">
        <f aca="false">AH145</f>
        <v>#VALUE!</v>
      </c>
      <c r="AI265" s="133" t="e">
        <f aca="false">AI145</f>
        <v>#VALUE!</v>
      </c>
      <c r="AJ265" s="133" t="e">
        <f aca="false">AJ145</f>
        <v>#VALUE!</v>
      </c>
      <c r="AK265" s="133" t="e">
        <f aca="false">AK145</f>
        <v>#VALUE!</v>
      </c>
      <c r="AL265" s="133" t="e">
        <f aca="false">AL145</f>
        <v>#VALUE!</v>
      </c>
    </row>
    <row r="266" customFormat="false" ht="15" hidden="false" customHeight="false" outlineLevel="1" collapsed="false">
      <c r="C266" s="187" t="s">
        <v>412</v>
      </c>
      <c r="E266" s="104" t="s">
        <v>72</v>
      </c>
      <c r="H266" s="0"/>
      <c r="I266" s="133" t="n">
        <f aca="false">'Balance Sheet'!I35</f>
        <v>0</v>
      </c>
      <c r="J266" s="133" t="e">
        <f aca="false">'Balance Sheet'!J35</f>
        <v>#VALUE!</v>
      </c>
      <c r="K266" s="133" t="e">
        <f aca="false">'Balance Sheet'!K35</f>
        <v>#VALUE!</v>
      </c>
      <c r="L266" s="133" t="e">
        <f aca="false">'Balance Sheet'!L35</f>
        <v>#VALUE!</v>
      </c>
      <c r="M266" s="133" t="e">
        <f aca="false">'Balance Sheet'!M35</f>
        <v>#VALUE!</v>
      </c>
      <c r="N266" s="133" t="e">
        <f aca="false">'Balance Sheet'!N35</f>
        <v>#VALUE!</v>
      </c>
      <c r="O266" s="133" t="e">
        <f aca="false">'Balance Sheet'!O35</f>
        <v>#VALUE!</v>
      </c>
      <c r="P266" s="133" t="e">
        <f aca="false">'Balance Sheet'!P35</f>
        <v>#VALUE!</v>
      </c>
      <c r="Q266" s="133" t="e">
        <f aca="false">'Balance Sheet'!Q35</f>
        <v>#VALUE!</v>
      </c>
      <c r="R266" s="133" t="e">
        <f aca="false">'Balance Sheet'!R35</f>
        <v>#VALUE!</v>
      </c>
      <c r="S266" s="133" t="e">
        <f aca="false">'Balance Sheet'!S35</f>
        <v>#VALUE!</v>
      </c>
      <c r="T266" s="133" t="e">
        <f aca="false">'Balance Sheet'!T35</f>
        <v>#VALUE!</v>
      </c>
      <c r="U266" s="133" t="e">
        <f aca="false">'Balance Sheet'!U35</f>
        <v>#VALUE!</v>
      </c>
      <c r="V266" s="133" t="e">
        <f aca="false">'Balance Sheet'!V35</f>
        <v>#VALUE!</v>
      </c>
      <c r="W266" s="133" t="e">
        <f aca="false">'Balance Sheet'!W35</f>
        <v>#VALUE!</v>
      </c>
      <c r="X266" s="133" t="e">
        <f aca="false">'Balance Sheet'!X35</f>
        <v>#VALUE!</v>
      </c>
      <c r="Y266" s="133" t="e">
        <f aca="false">'Balance Sheet'!Y35</f>
        <v>#VALUE!</v>
      </c>
      <c r="Z266" s="133" t="e">
        <f aca="false">'Balance Sheet'!Z35</f>
        <v>#VALUE!</v>
      </c>
      <c r="AA266" s="133" t="e">
        <f aca="false">'Balance Sheet'!AA35</f>
        <v>#VALUE!</v>
      </c>
      <c r="AB266" s="133" t="e">
        <f aca="false">'Balance Sheet'!AB35</f>
        <v>#VALUE!</v>
      </c>
      <c r="AC266" s="133" t="e">
        <f aca="false">'Balance Sheet'!AC35</f>
        <v>#VALUE!</v>
      </c>
      <c r="AD266" s="133" t="e">
        <f aca="false">'Balance Sheet'!AD35</f>
        <v>#VALUE!</v>
      </c>
      <c r="AE266" s="133" t="e">
        <f aca="false">'Balance Sheet'!AE35</f>
        <v>#VALUE!</v>
      </c>
      <c r="AF266" s="133" t="e">
        <f aca="false">'Balance Sheet'!AF35</f>
        <v>#VALUE!</v>
      </c>
      <c r="AG266" s="133" t="e">
        <f aca="false">'Balance Sheet'!AG35</f>
        <v>#VALUE!</v>
      </c>
      <c r="AH266" s="133" t="e">
        <f aca="false">'Balance Sheet'!AH35</f>
        <v>#VALUE!</v>
      </c>
      <c r="AI266" s="133" t="e">
        <f aca="false">'Balance Sheet'!AI35</f>
        <v>#VALUE!</v>
      </c>
      <c r="AJ266" s="133" t="e">
        <f aca="false">'Balance Sheet'!AJ35</f>
        <v>#VALUE!</v>
      </c>
      <c r="AK266" s="133" t="e">
        <f aca="false">'Balance Sheet'!AK35</f>
        <v>#VALUE!</v>
      </c>
      <c r="AL266" s="133" t="e">
        <f aca="false">'Balance Sheet'!AL35</f>
        <v>#VALUE!</v>
      </c>
    </row>
    <row r="267" customFormat="false" ht="15" hidden="false" customHeight="false" outlineLevel="1" collapsed="false">
      <c r="C267" s="0" t="s">
        <v>404</v>
      </c>
      <c r="E267" s="104" t="s">
        <v>72</v>
      </c>
      <c r="H267" s="0"/>
      <c r="I267" s="65" t="n">
        <f aca="false">-I130</f>
        <v>0</v>
      </c>
      <c r="J267" s="65" t="e">
        <f aca="false">-J130</f>
        <v>#VALUE!</v>
      </c>
      <c r="K267" s="65" t="e">
        <f aca="false">-K130</f>
        <v>#VALUE!</v>
      </c>
      <c r="L267" s="65" t="e">
        <f aca="false">-L130</f>
        <v>#VALUE!</v>
      </c>
      <c r="M267" s="65" t="e">
        <f aca="false">-M130</f>
        <v>#VALUE!</v>
      </c>
      <c r="N267" s="65" t="e">
        <f aca="false">-N130</f>
        <v>#VALUE!</v>
      </c>
      <c r="O267" s="65" t="e">
        <f aca="false">-O130</f>
        <v>#VALUE!</v>
      </c>
      <c r="P267" s="65" t="e">
        <f aca="false">-P130</f>
        <v>#VALUE!</v>
      </c>
      <c r="Q267" s="65" t="e">
        <f aca="false">-Q130</f>
        <v>#VALUE!</v>
      </c>
      <c r="R267" s="65" t="e">
        <f aca="false">-R130</f>
        <v>#VALUE!</v>
      </c>
      <c r="S267" s="65" t="e">
        <f aca="false">-S130</f>
        <v>#VALUE!</v>
      </c>
      <c r="T267" s="65" t="e">
        <f aca="false">-T130</f>
        <v>#VALUE!</v>
      </c>
      <c r="U267" s="65" t="e">
        <f aca="false">-U130</f>
        <v>#VALUE!</v>
      </c>
      <c r="V267" s="65" t="e">
        <f aca="false">-V130</f>
        <v>#VALUE!</v>
      </c>
      <c r="W267" s="65" t="e">
        <f aca="false">-W130</f>
        <v>#VALUE!</v>
      </c>
      <c r="X267" s="65" t="e">
        <f aca="false">-X130</f>
        <v>#VALUE!</v>
      </c>
      <c r="Y267" s="65" t="e">
        <f aca="false">-Y130</f>
        <v>#VALUE!</v>
      </c>
      <c r="Z267" s="65" t="e">
        <f aca="false">-Z130</f>
        <v>#VALUE!</v>
      </c>
      <c r="AA267" s="65" t="e">
        <f aca="false">-AA130</f>
        <v>#VALUE!</v>
      </c>
      <c r="AB267" s="65" t="e">
        <f aca="false">-AB130</f>
        <v>#VALUE!</v>
      </c>
      <c r="AC267" s="65" t="e">
        <f aca="false">-AC130</f>
        <v>#VALUE!</v>
      </c>
      <c r="AD267" s="65" t="e">
        <f aca="false">-AD130</f>
        <v>#VALUE!</v>
      </c>
      <c r="AE267" s="65" t="e">
        <f aca="false">-AE130</f>
        <v>#VALUE!</v>
      </c>
      <c r="AF267" s="65" t="e">
        <f aca="false">-AF130</f>
        <v>#VALUE!</v>
      </c>
      <c r="AG267" s="65" t="e">
        <f aca="false">-AG130</f>
        <v>#VALUE!</v>
      </c>
      <c r="AH267" s="65" t="e">
        <f aca="false">-AH130</f>
        <v>#VALUE!</v>
      </c>
      <c r="AI267" s="65" t="e">
        <f aca="false">-AI130</f>
        <v>#VALUE!</v>
      </c>
      <c r="AJ267" s="65" t="e">
        <f aca="false">-AJ130</f>
        <v>#VALUE!</v>
      </c>
      <c r="AK267" s="65" t="e">
        <f aca="false">-AK130</f>
        <v>#VALUE!</v>
      </c>
      <c r="AL267" s="65" t="e">
        <f aca="false">-AL130</f>
        <v>#VALUE!</v>
      </c>
    </row>
    <row r="268" customFormat="false" ht="15" hidden="false" customHeight="false" outlineLevel="1" collapsed="false">
      <c r="C268" s="117" t="s">
        <v>405</v>
      </c>
      <c r="D268" s="117"/>
      <c r="E268" s="118" t="s">
        <v>72</v>
      </c>
      <c r="F268" s="117"/>
      <c r="G268" s="117"/>
      <c r="H268" s="119"/>
      <c r="I268" s="124" t="e">
        <f aca="false">SUM(I265:I267)*MIGA_Coverage</f>
        <v>#VALUE!</v>
      </c>
      <c r="J268" s="124" t="e">
        <f aca="false">SUM(J265:J267)*MIGA_Coverage</f>
        <v>#VALUE!</v>
      </c>
      <c r="K268" s="124" t="e">
        <f aca="false">SUM(K265:K267)*MIGA_Coverage</f>
        <v>#VALUE!</v>
      </c>
      <c r="L268" s="124" t="e">
        <f aca="false">SUM(L265:L267)*MIGA_Coverage</f>
        <v>#VALUE!</v>
      </c>
      <c r="M268" s="124" t="e">
        <f aca="false">SUM(M265:M267)*MIGA_Coverage</f>
        <v>#VALUE!</v>
      </c>
      <c r="N268" s="124" t="e">
        <f aca="false">SUM(N265:N267)*MIGA_Coverage</f>
        <v>#VALUE!</v>
      </c>
      <c r="O268" s="124" t="e">
        <f aca="false">SUM(O265:O267)*MIGA_Coverage</f>
        <v>#VALUE!</v>
      </c>
      <c r="P268" s="124" t="e">
        <f aca="false">SUM(P265:P267)*MIGA_Coverage</f>
        <v>#VALUE!</v>
      </c>
      <c r="Q268" s="124" t="e">
        <f aca="false">SUM(Q265:Q267)*MIGA_Coverage</f>
        <v>#VALUE!</v>
      </c>
      <c r="R268" s="124" t="e">
        <f aca="false">SUM(R265:R267)*MIGA_Coverage</f>
        <v>#VALUE!</v>
      </c>
      <c r="S268" s="124" t="e">
        <f aca="false">SUM(S265:S267)*MIGA_Coverage</f>
        <v>#VALUE!</v>
      </c>
      <c r="T268" s="124" t="e">
        <f aca="false">SUM(T265:T267)*MIGA_Coverage</f>
        <v>#VALUE!</v>
      </c>
      <c r="U268" s="124" t="e">
        <f aca="false">SUM(U265:U267)*MIGA_Coverage</f>
        <v>#VALUE!</v>
      </c>
      <c r="V268" s="124" t="e">
        <f aca="false">SUM(V265:V267)*MIGA_Coverage</f>
        <v>#VALUE!</v>
      </c>
      <c r="W268" s="124" t="e">
        <f aca="false">SUM(W265:W267)*MIGA_Coverage</f>
        <v>#VALUE!</v>
      </c>
      <c r="X268" s="124" t="e">
        <f aca="false">SUM(X265:X267)*MIGA_Coverage</f>
        <v>#VALUE!</v>
      </c>
      <c r="Y268" s="124" t="e">
        <f aca="false">SUM(Y265:Y267)*MIGA_Coverage</f>
        <v>#VALUE!</v>
      </c>
      <c r="Z268" s="124" t="e">
        <f aca="false">SUM(Z265:Z267)*MIGA_Coverage</f>
        <v>#VALUE!</v>
      </c>
      <c r="AA268" s="124" t="e">
        <f aca="false">SUM(AA265:AA267)*MIGA_Coverage</f>
        <v>#VALUE!</v>
      </c>
      <c r="AB268" s="124" t="e">
        <f aca="false">SUM(AB265:AB267)*MIGA_Coverage</f>
        <v>#VALUE!</v>
      </c>
      <c r="AC268" s="124" t="e">
        <f aca="false">SUM(AC265:AC267)*MIGA_Coverage</f>
        <v>#VALUE!</v>
      </c>
      <c r="AD268" s="124" t="e">
        <f aca="false">SUM(AD265:AD267)*MIGA_Coverage</f>
        <v>#VALUE!</v>
      </c>
      <c r="AE268" s="124" t="e">
        <f aca="false">SUM(AE265:AE267)*MIGA_Coverage</f>
        <v>#VALUE!</v>
      </c>
      <c r="AF268" s="124" t="e">
        <f aca="false">SUM(AF265:AF267)*MIGA_Coverage</f>
        <v>#VALUE!</v>
      </c>
      <c r="AG268" s="124" t="e">
        <f aca="false">SUM(AG265:AG267)*MIGA_Coverage</f>
        <v>#VALUE!</v>
      </c>
      <c r="AH268" s="124" t="e">
        <f aca="false">SUM(AH265:AH267)*MIGA_Coverage</f>
        <v>#VALUE!</v>
      </c>
      <c r="AI268" s="124" t="e">
        <f aca="false">SUM(AI265:AI267)*MIGA_Coverage</f>
        <v>#VALUE!</v>
      </c>
      <c r="AJ268" s="124" t="e">
        <f aca="false">SUM(AJ265:AJ267)*MIGA_Coverage</f>
        <v>#VALUE!</v>
      </c>
      <c r="AK268" s="124" t="e">
        <f aca="false">SUM(AK265:AK267)*MIGA_Coverage</f>
        <v>#VALUE!</v>
      </c>
      <c r="AL268" s="124" t="e">
        <f aca="false">SUM(AL265:AL267)*MIGA_Coverage</f>
        <v>#VALUE!</v>
      </c>
    </row>
    <row r="269" customFormat="false" ht="15" hidden="false" customHeight="false" outlineLevel="0" collapsed="false">
      <c r="E269" s="0"/>
      <c r="H269" s="0"/>
    </row>
    <row r="270" customFormat="false" ht="15" hidden="false" customHeight="false" outlineLevel="1" collapsed="false">
      <c r="C270" s="0" t="s">
        <v>397</v>
      </c>
      <c r="E270" s="104" t="s">
        <v>72</v>
      </c>
      <c r="H270" s="0"/>
      <c r="I270" s="65" t="e">
        <f aca="false">-I268*MIGA_Current_Premium</f>
        <v>#VALUE!</v>
      </c>
      <c r="J270" s="65" t="e">
        <f aca="false">-J268*MIGA_Current_Premium</f>
        <v>#VALUE!</v>
      </c>
      <c r="K270" s="65" t="e">
        <f aca="false">-K268*MIGA_Current_Premium</f>
        <v>#VALUE!</v>
      </c>
      <c r="L270" s="65" t="e">
        <f aca="false">-L268*MIGA_Current_Premium</f>
        <v>#VALUE!</v>
      </c>
      <c r="M270" s="65" t="e">
        <f aca="false">-M268*MIGA_Current_Premium</f>
        <v>#VALUE!</v>
      </c>
      <c r="N270" s="65" t="e">
        <f aca="false">-N268*MIGA_Current_Premium</f>
        <v>#VALUE!</v>
      </c>
      <c r="O270" s="65" t="e">
        <f aca="false">-O268*MIGA_Current_Premium</f>
        <v>#VALUE!</v>
      </c>
      <c r="P270" s="65" t="e">
        <f aca="false">-P268*MIGA_Current_Premium</f>
        <v>#VALUE!</v>
      </c>
      <c r="Q270" s="65" t="e">
        <f aca="false">-Q268*MIGA_Current_Premium</f>
        <v>#VALUE!</v>
      </c>
      <c r="R270" s="65" t="e">
        <f aca="false">-R268*MIGA_Current_Premium</f>
        <v>#VALUE!</v>
      </c>
      <c r="S270" s="65" t="e">
        <f aca="false">-S268*MIGA_Current_Premium</f>
        <v>#VALUE!</v>
      </c>
      <c r="T270" s="65" t="e">
        <f aca="false">-T268*MIGA_Current_Premium</f>
        <v>#VALUE!</v>
      </c>
      <c r="U270" s="65" t="e">
        <f aca="false">-U268*MIGA_Current_Premium</f>
        <v>#VALUE!</v>
      </c>
      <c r="V270" s="65" t="e">
        <f aca="false">-V268*MIGA_Current_Premium</f>
        <v>#VALUE!</v>
      </c>
      <c r="W270" s="65" t="e">
        <f aca="false">-W268*MIGA_Current_Premium</f>
        <v>#VALUE!</v>
      </c>
      <c r="X270" s="65" t="e">
        <f aca="false">-X268*MIGA_Current_Premium</f>
        <v>#VALUE!</v>
      </c>
      <c r="Y270" s="65" t="e">
        <f aca="false">-Y268*MIGA_Current_Premium</f>
        <v>#VALUE!</v>
      </c>
      <c r="Z270" s="65" t="e">
        <f aca="false">-Z268*MIGA_Current_Premium</f>
        <v>#VALUE!</v>
      </c>
      <c r="AA270" s="65" t="e">
        <f aca="false">-AA268*MIGA_Current_Premium</f>
        <v>#VALUE!</v>
      </c>
      <c r="AB270" s="65" t="e">
        <f aca="false">-AB268*MIGA_Current_Premium</f>
        <v>#VALUE!</v>
      </c>
      <c r="AC270" s="65" t="e">
        <f aca="false">-AC268*MIGA_Current_Premium</f>
        <v>#VALUE!</v>
      </c>
      <c r="AD270" s="65" t="e">
        <f aca="false">-AD268*MIGA_Current_Premium</f>
        <v>#VALUE!</v>
      </c>
      <c r="AE270" s="65" t="e">
        <f aca="false">-AE268*MIGA_Current_Premium</f>
        <v>#VALUE!</v>
      </c>
      <c r="AF270" s="65" t="e">
        <f aca="false">-AF268*MIGA_Current_Premium</f>
        <v>#VALUE!</v>
      </c>
      <c r="AG270" s="65" t="e">
        <f aca="false">-AG268*MIGA_Current_Premium</f>
        <v>#VALUE!</v>
      </c>
      <c r="AH270" s="65" t="e">
        <f aca="false">-AH268*MIGA_Current_Premium</f>
        <v>#VALUE!</v>
      </c>
      <c r="AI270" s="65" t="e">
        <f aca="false">-AI268*MIGA_Current_Premium</f>
        <v>#VALUE!</v>
      </c>
      <c r="AJ270" s="65" t="e">
        <f aca="false">-AJ268*MIGA_Current_Premium</f>
        <v>#VALUE!</v>
      </c>
      <c r="AK270" s="65" t="e">
        <f aca="false">-AK268*MIGA_Current_Premium</f>
        <v>#VALUE!</v>
      </c>
      <c r="AL270" s="65" t="e">
        <f aca="false">-AL268*MIGA_Current_Premium</f>
        <v>#VALUE!</v>
      </c>
    </row>
    <row r="271" customFormat="false" ht="15" hidden="false" customHeight="false" outlineLevel="0" collapsed="false">
      <c r="E271" s="0"/>
      <c r="H271" s="0"/>
    </row>
    <row r="272" customFormat="false" ht="15" hidden="false" customHeight="false" outlineLevel="1" collapsed="false">
      <c r="B272" s="2" t="e">
        <f aca="false">(MAX($A$7:B271)+0.1)</f>
        <v>#VALUE!</v>
      </c>
      <c r="C272" s="2" t="s">
        <v>413</v>
      </c>
      <c r="E272" s="0"/>
      <c r="H272" s="0"/>
    </row>
    <row r="273" customFormat="false" ht="15" hidden="false" customHeight="false" outlineLevel="1" collapsed="false">
      <c r="C273" s="0" t="s">
        <v>414</v>
      </c>
      <c r="E273" s="104" t="s">
        <v>72</v>
      </c>
      <c r="H273" s="0"/>
      <c r="I273" s="133" t="e">
        <f aca="false">I6*($G$19-I265-I266)</f>
        <v>#VALUE!</v>
      </c>
      <c r="J273" s="133" t="e">
        <f aca="false">J6*($G$19-J265-J266)</f>
        <v>#VALUE!</v>
      </c>
      <c r="K273" s="133" t="e">
        <f aca="false">K6*($G$19-K265-K266)</f>
        <v>#VALUE!</v>
      </c>
      <c r="L273" s="133" t="e">
        <f aca="false">L6*($G$19-L265-L266)</f>
        <v>#VALUE!</v>
      </c>
      <c r="M273" s="133" t="e">
        <f aca="false">M6*($G$19-M265-M266)</f>
        <v>#VALUE!</v>
      </c>
      <c r="N273" s="133" t="e">
        <f aca="false">N6*($G$19-N265-N266)</f>
        <v>#VALUE!</v>
      </c>
      <c r="O273" s="133" t="e">
        <f aca="false">O6*($G$19-O265-O266)</f>
        <v>#VALUE!</v>
      </c>
      <c r="P273" s="133" t="e">
        <f aca="false">P6*($G$19-P265-P266)</f>
        <v>#VALUE!</v>
      </c>
      <c r="Q273" s="133" t="e">
        <f aca="false">Q6*($G$19-Q265-Q266)</f>
        <v>#VALUE!</v>
      </c>
      <c r="R273" s="133" t="e">
        <f aca="false">R6*($G$19-R265-R266)</f>
        <v>#VALUE!</v>
      </c>
      <c r="S273" s="133" t="e">
        <f aca="false">S6*($G$19-S265-S266)</f>
        <v>#VALUE!</v>
      </c>
      <c r="T273" s="133" t="e">
        <f aca="false">T6*($G$19-T265-T266)</f>
        <v>#VALUE!</v>
      </c>
      <c r="U273" s="133" t="e">
        <f aca="false">U6*($G$19-U265-U266)</f>
        <v>#VALUE!</v>
      </c>
      <c r="V273" s="133" t="e">
        <f aca="false">V6*($G$19-V265-V266)</f>
        <v>#VALUE!</v>
      </c>
      <c r="W273" s="133" t="e">
        <f aca="false">W6*($G$19-W265-W266)</f>
        <v>#VALUE!</v>
      </c>
      <c r="X273" s="133" t="e">
        <f aca="false">X6*($G$19-X265-X266)</f>
        <v>#VALUE!</v>
      </c>
      <c r="Y273" s="133" t="e">
        <f aca="false">Y6*($G$19-Y265-Y266)</f>
        <v>#VALUE!</v>
      </c>
      <c r="Z273" s="133" t="e">
        <f aca="false">Z6*($G$19-Z265-Z266)</f>
        <v>#VALUE!</v>
      </c>
      <c r="AA273" s="133" t="e">
        <f aca="false">AA6*($G$19-AA265-AA266)</f>
        <v>#VALUE!</v>
      </c>
      <c r="AB273" s="133" t="e">
        <f aca="false">AB6*($G$19-AB265-AB266)</f>
        <v>#VALUE!</v>
      </c>
      <c r="AC273" s="133" t="e">
        <f aca="false">AC6*($G$19-AC265-AC266)</f>
        <v>#VALUE!</v>
      </c>
      <c r="AD273" s="133" t="e">
        <f aca="false">AD6*($G$19-AD265-AD266)</f>
        <v>#VALUE!</v>
      </c>
      <c r="AE273" s="133" t="e">
        <f aca="false">AE6*($G$19-AE265-AE266)</f>
        <v>#VALUE!</v>
      </c>
      <c r="AF273" s="133" t="e">
        <f aca="false">AF6*($G$19-AF265-AF266)</f>
        <v>#VALUE!</v>
      </c>
      <c r="AG273" s="133" t="e">
        <f aca="false">AG6*($G$19-AG265-AG266)</f>
        <v>#VALUE!</v>
      </c>
      <c r="AH273" s="133" t="e">
        <f aca="false">AH6*($G$19-AH265-AH266)</f>
        <v>#VALUE!</v>
      </c>
      <c r="AI273" s="133" t="e">
        <f aca="false">AI6*($G$19-AI265-AI266)</f>
        <v>#VALUE!</v>
      </c>
      <c r="AJ273" s="133" t="e">
        <f aca="false">AJ6*($G$19-AJ265-AJ266)</f>
        <v>#VALUE!</v>
      </c>
      <c r="AK273" s="133" t="e">
        <f aca="false">AK6*($G$19-AK265-AK266)</f>
        <v>#VALUE!</v>
      </c>
      <c r="AL273" s="133" t="e">
        <f aca="false">AL6*($G$19-AL265-AL266)</f>
        <v>#VALUE!</v>
      </c>
    </row>
    <row r="274" customFormat="false" ht="15" hidden="false" customHeight="false" outlineLevel="1" collapsed="false">
      <c r="C274" s="0" t="s">
        <v>408</v>
      </c>
      <c r="E274" s="104" t="s">
        <v>72</v>
      </c>
      <c r="G274" s="162" t="n">
        <v>-7385102.68851356</v>
      </c>
      <c r="H274" s="0"/>
      <c r="I274" s="65" t="e">
        <f aca="false">IF(Equity_Loan_Terms="ASAP",-(Equity_Loan_Interest_Value+SUM($I$267:I267)),-(Equity_Loan_Interest_Total+SUM($I$267:I267)))</f>
        <v>#VALUE!</v>
      </c>
      <c r="J274" s="65" t="e">
        <f aca="false">IF(Equity_Loan_Terms="ASAP",-(Equity_Loan_Interest_Value+SUM($I$267:J267)),-(Equity_Loan_Interest_Total+SUM($I$267:J267)))</f>
        <v>#VALUE!</v>
      </c>
      <c r="K274" s="65" t="e">
        <f aca="false">IF(Equity_Loan_Terms="ASAP",-(Equity_Loan_Interest_Value+SUM($I$267:K267)),-(Equity_Loan_Interest_Total+SUM($I$267:K267)))</f>
        <v>#VALUE!</v>
      </c>
      <c r="L274" s="65" t="e">
        <f aca="false">IF(Equity_Loan_Terms="ASAP",-(Equity_Loan_Interest_Value+SUM($I$267:L267)),-(Equity_Loan_Interest_Total+SUM($I$267:L267)))</f>
        <v>#VALUE!</v>
      </c>
      <c r="M274" s="65" t="e">
        <f aca="false">IF(Equity_Loan_Terms="ASAP",-(Equity_Loan_Interest_Value+SUM($I$267:M267)),-(Equity_Loan_Interest_Total+SUM($I$267:M267)))</f>
        <v>#VALUE!</v>
      </c>
      <c r="N274" s="65" t="e">
        <f aca="false">IF(Equity_Loan_Terms="ASAP",-(Equity_Loan_Interest_Value+SUM($I$267:N267)),-(Equity_Loan_Interest_Total+SUM($I$267:N267)))</f>
        <v>#VALUE!</v>
      </c>
      <c r="O274" s="65" t="e">
        <f aca="false">IF(Equity_Loan_Terms="ASAP",-(Equity_Loan_Interest_Value+SUM($I$267:O267)),-(Equity_Loan_Interest_Total+SUM($I$267:O267)))</f>
        <v>#VALUE!</v>
      </c>
      <c r="P274" s="65" t="e">
        <f aca="false">IF(Equity_Loan_Terms="ASAP",-(Equity_Loan_Interest_Value+SUM($I$267:P267)),-(Equity_Loan_Interest_Total+SUM($I$267:P267)))</f>
        <v>#VALUE!</v>
      </c>
      <c r="Q274" s="65" t="e">
        <f aca="false">IF(Equity_Loan_Terms="ASAP",-(Equity_Loan_Interest_Value+SUM($I$267:Q267)),-(Equity_Loan_Interest_Total+SUM($I$267:Q267)))</f>
        <v>#VALUE!</v>
      </c>
      <c r="R274" s="65" t="e">
        <f aca="false">IF(Equity_Loan_Terms="ASAP",-(Equity_Loan_Interest_Value+SUM($I$267:R267)),-(Equity_Loan_Interest_Total+SUM($I$267:R267)))</f>
        <v>#VALUE!</v>
      </c>
      <c r="S274" s="65" t="e">
        <f aca="false">IF(Equity_Loan_Terms="ASAP",-(Equity_Loan_Interest_Value+SUM($I$267:S267)),-(Equity_Loan_Interest_Total+SUM($I$267:S267)))</f>
        <v>#VALUE!</v>
      </c>
      <c r="T274" s="65" t="e">
        <f aca="false">IF(Equity_Loan_Terms="ASAP",-(Equity_Loan_Interest_Value+SUM($I$267:T267)),-(Equity_Loan_Interest_Total+SUM($I$267:T267)))</f>
        <v>#VALUE!</v>
      </c>
      <c r="U274" s="65" t="e">
        <f aca="false">IF(Equity_Loan_Terms="ASAP",-(Equity_Loan_Interest_Value+SUM($I$267:U267)),-(Equity_Loan_Interest_Total+SUM($I$267:U267)))</f>
        <v>#VALUE!</v>
      </c>
      <c r="V274" s="65" t="e">
        <f aca="false">IF(Equity_Loan_Terms="ASAP",-(Equity_Loan_Interest_Value+SUM($I$267:V267)),-(Equity_Loan_Interest_Total+SUM($I$267:V267)))</f>
        <v>#VALUE!</v>
      </c>
      <c r="W274" s="65" t="e">
        <f aca="false">IF(Equity_Loan_Terms="ASAP",-(Equity_Loan_Interest_Value+SUM($I$267:W267)),-(Equity_Loan_Interest_Total+SUM($I$267:W267)))</f>
        <v>#VALUE!</v>
      </c>
      <c r="X274" s="65" t="e">
        <f aca="false">IF(Equity_Loan_Terms="ASAP",-(Equity_Loan_Interest_Value+SUM($I$267:X267)),-(Equity_Loan_Interest_Total+SUM($I$267:X267)))</f>
        <v>#VALUE!</v>
      </c>
      <c r="Y274" s="65" t="e">
        <f aca="false">IF(Equity_Loan_Terms="ASAP",-(Equity_Loan_Interest_Value+SUM($I$267:Y267)),-(Equity_Loan_Interest_Total+SUM($I$267:Y267)))</f>
        <v>#VALUE!</v>
      </c>
      <c r="Z274" s="65" t="e">
        <f aca="false">IF(Equity_Loan_Terms="ASAP",-(Equity_Loan_Interest_Value+SUM($I$267:Z267)),-(Equity_Loan_Interest_Total+SUM($I$267:Z267)))</f>
        <v>#VALUE!</v>
      </c>
      <c r="AA274" s="65" t="e">
        <f aca="false">IF(Equity_Loan_Terms="ASAP",-(Equity_Loan_Interest_Value+SUM($I$267:AA267)),-(Equity_Loan_Interest_Total+SUM($I$267:AA267)))</f>
        <v>#VALUE!</v>
      </c>
      <c r="AB274" s="65" t="e">
        <f aca="false">IF(Equity_Loan_Terms="ASAP",-(Equity_Loan_Interest_Value+SUM($I$267:AB267)),-(Equity_Loan_Interest_Total+SUM($I$267:AB267)))</f>
        <v>#VALUE!</v>
      </c>
      <c r="AC274" s="65" t="e">
        <f aca="false">IF(Equity_Loan_Terms="ASAP",-(Equity_Loan_Interest_Value+SUM($I$267:AC267)),-(Equity_Loan_Interest_Total+SUM($I$267:AC267)))</f>
        <v>#VALUE!</v>
      </c>
      <c r="AD274" s="65" t="e">
        <f aca="false">IF(Equity_Loan_Terms="ASAP",-(Equity_Loan_Interest_Value+SUM($I$267:AD267)),-(Equity_Loan_Interest_Total+SUM($I$267:AD267)))</f>
        <v>#VALUE!</v>
      </c>
      <c r="AE274" s="65" t="e">
        <f aca="false">IF(Equity_Loan_Terms="ASAP",-(Equity_Loan_Interest_Value+SUM($I$267:AE267)),-(Equity_Loan_Interest_Total+SUM($I$267:AE267)))</f>
        <v>#VALUE!</v>
      </c>
      <c r="AF274" s="65" t="e">
        <f aca="false">IF(Equity_Loan_Terms="ASAP",-(Equity_Loan_Interest_Value+SUM($I$267:AF267)),-(Equity_Loan_Interest_Total+SUM($I$267:AF267)))</f>
        <v>#VALUE!</v>
      </c>
      <c r="AG274" s="65" t="e">
        <f aca="false">IF(Equity_Loan_Terms="ASAP",-(Equity_Loan_Interest_Value+SUM($I$267:AG267)),-(Equity_Loan_Interest_Total+SUM($I$267:AG267)))</f>
        <v>#VALUE!</v>
      </c>
      <c r="AH274" s="65" t="e">
        <f aca="false">IF(Equity_Loan_Terms="ASAP",-(Equity_Loan_Interest_Value+SUM($I$267:AH267)),-(Equity_Loan_Interest_Total+SUM($I$267:AH267)))</f>
        <v>#VALUE!</v>
      </c>
      <c r="AI274" s="65" t="e">
        <f aca="false">IF(Equity_Loan_Terms="ASAP",-(Equity_Loan_Interest_Value+SUM($I$267:AI267)),-(Equity_Loan_Interest_Total+SUM($I$267:AI267)))</f>
        <v>#VALUE!</v>
      </c>
      <c r="AJ274" s="65" t="e">
        <f aca="false">IF(Equity_Loan_Terms="ASAP",-(Equity_Loan_Interest_Value+SUM($I$267:AJ267)),-(Equity_Loan_Interest_Total+SUM($I$267:AJ267)))</f>
        <v>#VALUE!</v>
      </c>
      <c r="AK274" s="65" t="e">
        <f aca="false">IF(Equity_Loan_Terms="ASAP",-(Equity_Loan_Interest_Value+SUM($I$267:AK267)),-(Equity_Loan_Interest_Total+SUM($I$267:AK267)))</f>
        <v>#VALUE!</v>
      </c>
      <c r="AL274" s="65" t="e">
        <f aca="false">IF(Equity_Loan_Terms="ASAP",-(Equity_Loan_Interest_Value+SUM($I$267:AL267)),-(Equity_Loan_Interest_Total+SUM($I$267:AL267)))</f>
        <v>#VALUE!</v>
      </c>
    </row>
    <row r="275" customFormat="false" ht="15" hidden="false" customHeight="false" outlineLevel="1" collapsed="false">
      <c r="C275" s="117" t="s">
        <v>405</v>
      </c>
      <c r="D275" s="117"/>
      <c r="E275" s="118" t="s">
        <v>72</v>
      </c>
      <c r="F275" s="117"/>
      <c r="G275" s="117"/>
      <c r="H275" s="119"/>
      <c r="I275" s="124" t="e">
        <f aca="false">SUM(I273:I274)*MIGA_Coverage</f>
        <v>#VALUE!</v>
      </c>
      <c r="J275" s="124" t="e">
        <f aca="false">SUM(J273:J274)*MIGA_Coverage</f>
        <v>#VALUE!</v>
      </c>
      <c r="K275" s="124" t="e">
        <f aca="false">SUM(K273:K274)*MIGA_Coverage</f>
        <v>#VALUE!</v>
      </c>
      <c r="L275" s="124" t="e">
        <f aca="false">SUM(L273:L274)*MIGA_Coverage</f>
        <v>#VALUE!</v>
      </c>
      <c r="M275" s="124" t="e">
        <f aca="false">SUM(M273:M274)*MIGA_Coverage</f>
        <v>#VALUE!</v>
      </c>
      <c r="N275" s="124" t="e">
        <f aca="false">SUM(N273:N274)*MIGA_Coverage</f>
        <v>#VALUE!</v>
      </c>
      <c r="O275" s="124" t="e">
        <f aca="false">SUM(O273:O274)*MIGA_Coverage</f>
        <v>#VALUE!</v>
      </c>
      <c r="P275" s="124" t="e">
        <f aca="false">SUM(P273:P274)*MIGA_Coverage</f>
        <v>#VALUE!</v>
      </c>
      <c r="Q275" s="124" t="e">
        <f aca="false">SUM(Q273:Q274)*MIGA_Coverage</f>
        <v>#VALUE!</v>
      </c>
      <c r="R275" s="124" t="e">
        <f aca="false">SUM(R273:R274)*MIGA_Coverage</f>
        <v>#VALUE!</v>
      </c>
      <c r="S275" s="124" t="e">
        <f aca="false">SUM(S273:S274)*MIGA_Coverage</f>
        <v>#VALUE!</v>
      </c>
      <c r="T275" s="124" t="e">
        <f aca="false">SUM(T273:T274)*MIGA_Coverage</f>
        <v>#VALUE!</v>
      </c>
      <c r="U275" s="124" t="e">
        <f aca="false">SUM(U273:U274)*MIGA_Coverage</f>
        <v>#VALUE!</v>
      </c>
      <c r="V275" s="124" t="e">
        <f aca="false">SUM(V273:V274)*MIGA_Coverage</f>
        <v>#VALUE!</v>
      </c>
      <c r="W275" s="124" t="e">
        <f aca="false">SUM(W273:W274)*MIGA_Coverage</f>
        <v>#VALUE!</v>
      </c>
      <c r="X275" s="124" t="e">
        <f aca="false">SUM(X273:X274)*MIGA_Coverage</f>
        <v>#VALUE!</v>
      </c>
      <c r="Y275" s="124" t="e">
        <f aca="false">SUM(Y273:Y274)*MIGA_Coverage</f>
        <v>#VALUE!</v>
      </c>
      <c r="Z275" s="124" t="e">
        <f aca="false">SUM(Z273:Z274)*MIGA_Coverage</f>
        <v>#VALUE!</v>
      </c>
      <c r="AA275" s="124" t="e">
        <f aca="false">SUM(AA273:AA274)*MIGA_Coverage</f>
        <v>#VALUE!</v>
      </c>
      <c r="AB275" s="124" t="e">
        <f aca="false">SUM(AB273:AB274)*MIGA_Coverage</f>
        <v>#VALUE!</v>
      </c>
      <c r="AC275" s="124" t="e">
        <f aca="false">SUM(AC273:AC274)*MIGA_Coverage</f>
        <v>#VALUE!</v>
      </c>
      <c r="AD275" s="124" t="e">
        <f aca="false">SUM(AD273:AD274)*MIGA_Coverage</f>
        <v>#VALUE!</v>
      </c>
      <c r="AE275" s="124" t="e">
        <f aca="false">SUM(AE273:AE274)*MIGA_Coverage</f>
        <v>#VALUE!</v>
      </c>
      <c r="AF275" s="124" t="e">
        <f aca="false">SUM(AF273:AF274)*MIGA_Coverage</f>
        <v>#VALUE!</v>
      </c>
      <c r="AG275" s="124" t="e">
        <f aca="false">SUM(AG273:AG274)*MIGA_Coverage</f>
        <v>#VALUE!</v>
      </c>
      <c r="AH275" s="124" t="e">
        <f aca="false">SUM(AH273:AH274)*MIGA_Coverage</f>
        <v>#VALUE!</v>
      </c>
      <c r="AI275" s="124" t="e">
        <f aca="false">SUM(AI273:AI274)*MIGA_Coverage</f>
        <v>#VALUE!</v>
      </c>
      <c r="AJ275" s="124" t="e">
        <f aca="false">SUM(AJ273:AJ274)*MIGA_Coverage</f>
        <v>#VALUE!</v>
      </c>
      <c r="AK275" s="124" t="e">
        <f aca="false">SUM(AK273:AK274)*MIGA_Coverage</f>
        <v>#VALUE!</v>
      </c>
      <c r="AL275" s="124" t="e">
        <f aca="false">SUM(AL273:AL274)*MIGA_Coverage</f>
        <v>#VALUE!</v>
      </c>
    </row>
    <row r="276" customFormat="false" ht="15" hidden="false" customHeight="false" outlineLevel="1" collapsed="false">
      <c r="E276" s="0"/>
    </row>
    <row r="277" customFormat="false" ht="15" hidden="false" customHeight="false" outlineLevel="1" collapsed="false">
      <c r="C277" s="0" t="s">
        <v>398</v>
      </c>
      <c r="E277" s="104" t="s">
        <v>72</v>
      </c>
      <c r="I277" s="65" t="e">
        <f aca="false">-I275*MIGA_Standby_Rate</f>
        <v>#VALUE!</v>
      </c>
      <c r="J277" s="65" t="e">
        <f aca="false">-J275*MIGA_Standby_Rate</f>
        <v>#VALUE!</v>
      </c>
      <c r="K277" s="65" t="e">
        <f aca="false">-K275*MIGA_Standby_Rate</f>
        <v>#VALUE!</v>
      </c>
      <c r="L277" s="65" t="e">
        <f aca="false">-L275*MIGA_Standby_Rate</f>
        <v>#VALUE!</v>
      </c>
      <c r="M277" s="65" t="e">
        <f aca="false">-M275*MIGA_Standby_Rate</f>
        <v>#VALUE!</v>
      </c>
      <c r="N277" s="65" t="e">
        <f aca="false">-N275*MIGA_Standby_Rate</f>
        <v>#VALUE!</v>
      </c>
      <c r="O277" s="65" t="e">
        <f aca="false">-O275*MIGA_Standby_Rate</f>
        <v>#VALUE!</v>
      </c>
      <c r="P277" s="65" t="e">
        <f aca="false">-P275*MIGA_Standby_Rate</f>
        <v>#VALUE!</v>
      </c>
      <c r="Q277" s="65" t="e">
        <f aca="false">-Q275*MIGA_Standby_Rate</f>
        <v>#VALUE!</v>
      </c>
      <c r="R277" s="65" t="e">
        <f aca="false">-R275*MIGA_Standby_Rate</f>
        <v>#VALUE!</v>
      </c>
      <c r="S277" s="65" t="e">
        <f aca="false">-S275*MIGA_Standby_Rate</f>
        <v>#VALUE!</v>
      </c>
      <c r="T277" s="65" t="e">
        <f aca="false">-T275*MIGA_Standby_Rate</f>
        <v>#VALUE!</v>
      </c>
      <c r="U277" s="65" t="e">
        <f aca="false">-U275*MIGA_Standby_Rate</f>
        <v>#VALUE!</v>
      </c>
      <c r="V277" s="65" t="e">
        <f aca="false">-V275*MIGA_Standby_Rate</f>
        <v>#VALUE!</v>
      </c>
      <c r="W277" s="65" t="e">
        <f aca="false">-W275*MIGA_Standby_Rate</f>
        <v>#VALUE!</v>
      </c>
      <c r="X277" s="65" t="e">
        <f aca="false">-X275*MIGA_Standby_Rate</f>
        <v>#VALUE!</v>
      </c>
      <c r="Y277" s="65" t="e">
        <f aca="false">-Y275*MIGA_Standby_Rate</f>
        <v>#VALUE!</v>
      </c>
      <c r="Z277" s="65" t="e">
        <f aca="false">-Z275*MIGA_Standby_Rate</f>
        <v>#VALUE!</v>
      </c>
      <c r="AA277" s="65" t="e">
        <f aca="false">-AA275*MIGA_Standby_Rate</f>
        <v>#VALUE!</v>
      </c>
      <c r="AB277" s="65" t="e">
        <f aca="false">-AB275*MIGA_Standby_Rate</f>
        <v>#VALUE!</v>
      </c>
      <c r="AC277" s="65" t="e">
        <f aca="false">-AC275*MIGA_Standby_Rate</f>
        <v>#VALUE!</v>
      </c>
      <c r="AD277" s="65" t="e">
        <f aca="false">-AD275*MIGA_Standby_Rate</f>
        <v>#VALUE!</v>
      </c>
      <c r="AE277" s="65" t="e">
        <f aca="false">-AE275*MIGA_Standby_Rate</f>
        <v>#VALUE!</v>
      </c>
      <c r="AF277" s="65" t="e">
        <f aca="false">-AF275*MIGA_Standby_Rate</f>
        <v>#VALUE!</v>
      </c>
      <c r="AG277" s="65" t="e">
        <f aca="false">-AG275*MIGA_Standby_Rate</f>
        <v>#VALUE!</v>
      </c>
      <c r="AH277" s="65" t="e">
        <f aca="false">-AH275*MIGA_Standby_Rate</f>
        <v>#VALUE!</v>
      </c>
      <c r="AI277" s="65" t="e">
        <f aca="false">-AI275*MIGA_Standby_Rate</f>
        <v>#VALUE!</v>
      </c>
      <c r="AJ277" s="65" t="e">
        <f aca="false">-AJ275*MIGA_Standby_Rate</f>
        <v>#VALUE!</v>
      </c>
      <c r="AK277" s="65" t="e">
        <f aca="false">-AK275*MIGA_Standby_Rate</f>
        <v>#VALUE!</v>
      </c>
      <c r="AL277" s="65" t="e">
        <f aca="false">-AL275*MIGA_Standby_Rate</f>
        <v>#VALUE!</v>
      </c>
    </row>
    <row r="278" customFormat="false" ht="15" hidden="false" customHeight="false" outlineLevel="1" collapsed="false">
      <c r="C278" s="0" t="s">
        <v>409</v>
      </c>
      <c r="E278" s="104" t="s">
        <v>72</v>
      </c>
      <c r="I278" s="65" t="e">
        <f aca="false">-MIGA_Admin_Fee*(I275+I268)*I$8</f>
        <v>#VALUE!</v>
      </c>
      <c r="J278" s="65" t="e">
        <f aca="false">-MIGA_Admin_Fee*(J275+J268)*J$8</f>
        <v>#VALUE!</v>
      </c>
      <c r="K278" s="65" t="e">
        <f aca="false">-MIGA_Admin_Fee*(K275+K268)*K$8</f>
        <v>#VALUE!</v>
      </c>
      <c r="L278" s="65" t="e">
        <f aca="false">-MIGA_Admin_Fee*(L275+L268)*L$8</f>
        <v>#VALUE!</v>
      </c>
      <c r="M278" s="65" t="e">
        <f aca="false">-MIGA_Admin_Fee*(M275+M268)*M$8</f>
        <v>#VALUE!</v>
      </c>
      <c r="N278" s="65" t="e">
        <f aca="false">-MIGA_Admin_Fee*(N275+N268)*N$8</f>
        <v>#VALUE!</v>
      </c>
      <c r="O278" s="65" t="e">
        <f aca="false">-MIGA_Admin_Fee*(O275+O268)*O$8</f>
        <v>#VALUE!</v>
      </c>
      <c r="P278" s="65" t="e">
        <f aca="false">-MIGA_Admin_Fee*(P275+P268)*P$8</f>
        <v>#VALUE!</v>
      </c>
      <c r="Q278" s="65" t="e">
        <f aca="false">-MIGA_Admin_Fee*(Q275+Q268)*Q$8</f>
        <v>#VALUE!</v>
      </c>
      <c r="R278" s="65" t="e">
        <f aca="false">-MIGA_Admin_Fee*(R275+R268)*R$8</f>
        <v>#VALUE!</v>
      </c>
      <c r="S278" s="65" t="e">
        <f aca="false">-MIGA_Admin_Fee*(S275+S268)*S$8</f>
        <v>#VALUE!</v>
      </c>
      <c r="T278" s="65" t="e">
        <f aca="false">-MIGA_Admin_Fee*(T275+T268)*T$8</f>
        <v>#VALUE!</v>
      </c>
      <c r="U278" s="65" t="e">
        <f aca="false">-MIGA_Admin_Fee*(U275+U268)*U$8</f>
        <v>#VALUE!</v>
      </c>
      <c r="V278" s="65" t="e">
        <f aca="false">-MIGA_Admin_Fee*(V275+V268)*V$8</f>
        <v>#VALUE!</v>
      </c>
      <c r="W278" s="65" t="e">
        <f aca="false">-MIGA_Admin_Fee*(W275+W268)*W$8</f>
        <v>#VALUE!</v>
      </c>
      <c r="X278" s="65" t="e">
        <f aca="false">-MIGA_Admin_Fee*(X275+X268)*X$8</f>
        <v>#VALUE!</v>
      </c>
      <c r="Y278" s="65" t="e">
        <f aca="false">-MIGA_Admin_Fee*(Y275+Y268)*Y$8</f>
        <v>#VALUE!</v>
      </c>
      <c r="Z278" s="65" t="e">
        <f aca="false">-MIGA_Admin_Fee*(Z275+Z268)*Z$8</f>
        <v>#VALUE!</v>
      </c>
      <c r="AA278" s="65" t="e">
        <f aca="false">-MIGA_Admin_Fee*(AA275+AA268)*AA$8</f>
        <v>#VALUE!</v>
      </c>
      <c r="AB278" s="65" t="e">
        <f aca="false">-MIGA_Admin_Fee*(AB275+AB268)*AB$8</f>
        <v>#VALUE!</v>
      </c>
      <c r="AC278" s="65" t="e">
        <f aca="false">-MIGA_Admin_Fee*(AC275+AC268)*AC$8</f>
        <v>#VALUE!</v>
      </c>
      <c r="AD278" s="65" t="e">
        <f aca="false">-MIGA_Admin_Fee*(AD275+AD268)*AD$8</f>
        <v>#VALUE!</v>
      </c>
      <c r="AE278" s="65" t="e">
        <f aca="false">-MIGA_Admin_Fee*(AE275+AE268)*AE$8</f>
        <v>#VALUE!</v>
      </c>
      <c r="AF278" s="65" t="e">
        <f aca="false">-MIGA_Admin_Fee*(AF275+AF268)*AF$8</f>
        <v>#VALUE!</v>
      </c>
      <c r="AG278" s="65" t="e">
        <f aca="false">-MIGA_Admin_Fee*(AG275+AG268)*AG$8</f>
        <v>#VALUE!</v>
      </c>
      <c r="AH278" s="65" t="e">
        <f aca="false">-MIGA_Admin_Fee*(AH275+AH268)*AH$8</f>
        <v>#VALUE!</v>
      </c>
      <c r="AI278" s="65" t="e">
        <f aca="false">-MIGA_Admin_Fee*(AI275+AI268)*AI$8</f>
        <v>#VALUE!</v>
      </c>
      <c r="AJ278" s="65" t="e">
        <f aca="false">-MIGA_Admin_Fee*(AJ275+AJ268)*AJ$8</f>
        <v>#VALUE!</v>
      </c>
      <c r="AK278" s="65" t="e">
        <f aca="false">-MIGA_Admin_Fee*(AK275+AK268)*AK$8</f>
        <v>#VALUE!</v>
      </c>
      <c r="AL278" s="65" t="e">
        <f aca="false">-MIGA_Admin_Fee*(AL275+AL268)*AL$8</f>
        <v>#VALUE!</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M86"/>
  <sheetViews>
    <sheetView windowProtection="true" showFormulas="false" showGridLines="false" showRowColHeaders="true" showZeros="true" rightToLeft="false" tabSelected="false" showOutlineSymbols="true" defaultGridColor="true" view="normal" topLeftCell="A1" colorId="64" zoomScale="85" zoomScaleNormal="85" zoomScalePageLayoutView="100" workbookViewId="0">
      <pane xSplit="8" ySplit="4" topLeftCell="I16" activePane="bottomRight" state="frozen"/>
      <selection pane="topLeft" activeCell="A1" activeCellId="0" sqref="A1"/>
      <selection pane="topRight" activeCell="I1" activeCellId="0" sqref="I1"/>
      <selection pane="bottomLeft" activeCell="A16" activeCellId="0" sqref="A16"/>
      <selection pane="bottomRight" activeCell="A19" activeCellId="0" sqref="A19"/>
    </sheetView>
  </sheetViews>
  <sheetFormatPr defaultRowHeight="15"/>
  <cols>
    <col collapsed="false" hidden="false" max="2" min="1" style="0" width="8.89068825910931"/>
    <col collapsed="false" hidden="false" max="3" min="3" style="0" width="33.1012145748988"/>
    <col collapsed="false" hidden="false" max="4" min="4" style="0" width="7.2834008097166"/>
    <col collapsed="false" hidden="false" max="5" min="5" style="104" width="15.3198380566802"/>
    <col collapsed="false" hidden="false" max="6" min="6" style="0" width="4.39271255060729"/>
    <col collapsed="false" hidden="false" max="7" min="7" style="0" width="11.6761133603239"/>
    <col collapsed="false" hidden="false" max="8" min="8" style="105" width="4.49797570850202"/>
    <col collapsed="false" hidden="false" max="9" min="9" style="0" width="10.6032388663968"/>
    <col collapsed="false" hidden="false" max="39" min="10" style="0" width="11.1417004048583"/>
    <col collapsed="false" hidden="true" max="1025" min="40" style="0" width="0"/>
  </cols>
  <sheetData>
    <row r="1" s="14" customFormat="true" ht="15" hidden="false" customHeight="false" outlineLevel="0" collapsed="false">
      <c r="A1" s="14" t="str">
        <f aca="false">Parameters!A1</f>
        <v>supplier SOLAR MODEL</v>
      </c>
      <c r="E1" s="15"/>
      <c r="F1" s="15"/>
      <c r="G1" s="15"/>
      <c r="H1" s="106" t="str">
        <f aca="false">'Cash Flow'!H1</f>
        <v>Period</v>
      </c>
      <c r="I1" s="107" t="n">
        <f aca="false">'Cash Flow'!I1</f>
        <v>1</v>
      </c>
      <c r="J1" s="107" t="n">
        <f aca="false">'Cash Flow'!J1</f>
        <v>2</v>
      </c>
      <c r="K1" s="107" t="n">
        <f aca="false">'Cash Flow'!K1</f>
        <v>3</v>
      </c>
      <c r="L1" s="107" t="n">
        <f aca="false">'Cash Flow'!L1</f>
        <v>4</v>
      </c>
      <c r="M1" s="107" t="n">
        <f aca="false">'Cash Flow'!M1</f>
        <v>5</v>
      </c>
      <c r="N1" s="107" t="n">
        <f aca="false">'Cash Flow'!N1</f>
        <v>6</v>
      </c>
      <c r="O1" s="107" t="n">
        <f aca="false">'Cash Flow'!O1</f>
        <v>7</v>
      </c>
      <c r="P1" s="107" t="n">
        <f aca="false">'Cash Flow'!P1</f>
        <v>8</v>
      </c>
      <c r="Q1" s="107" t="n">
        <f aca="false">'Cash Flow'!Q1</f>
        <v>9</v>
      </c>
      <c r="R1" s="107" t="n">
        <f aca="false">'Cash Flow'!R1</f>
        <v>10</v>
      </c>
      <c r="S1" s="107" t="n">
        <f aca="false">'Cash Flow'!S1</f>
        <v>11</v>
      </c>
      <c r="T1" s="107" t="n">
        <f aca="false">'Cash Flow'!T1</f>
        <v>12</v>
      </c>
      <c r="U1" s="107" t="n">
        <f aca="false">'Cash Flow'!U1</f>
        <v>13</v>
      </c>
      <c r="V1" s="107" t="n">
        <f aca="false">'Cash Flow'!V1</f>
        <v>14</v>
      </c>
      <c r="W1" s="107" t="n">
        <f aca="false">'Cash Flow'!W1</f>
        <v>15</v>
      </c>
      <c r="X1" s="107" t="n">
        <f aca="false">'Cash Flow'!X1</f>
        <v>16</v>
      </c>
      <c r="Y1" s="107" t="n">
        <f aca="false">'Cash Flow'!Y1</f>
        <v>17</v>
      </c>
      <c r="Z1" s="107" t="n">
        <f aca="false">'Cash Flow'!Z1</f>
        <v>18</v>
      </c>
      <c r="AA1" s="107" t="n">
        <f aca="false">'Cash Flow'!AA1</f>
        <v>19</v>
      </c>
      <c r="AB1" s="107" t="n">
        <f aca="false">'Cash Flow'!AB1</f>
        <v>20</v>
      </c>
      <c r="AC1" s="107" t="n">
        <f aca="false">'Cash Flow'!AC1</f>
        <v>21</v>
      </c>
      <c r="AD1" s="107" t="n">
        <f aca="false">'Cash Flow'!AD1</f>
        <v>22</v>
      </c>
      <c r="AE1" s="107" t="n">
        <f aca="false">'Cash Flow'!AE1</f>
        <v>23</v>
      </c>
      <c r="AF1" s="107" t="n">
        <f aca="false">'Cash Flow'!AF1</f>
        <v>24</v>
      </c>
      <c r="AG1" s="107" t="n">
        <f aca="false">'Cash Flow'!AG1</f>
        <v>25</v>
      </c>
      <c r="AH1" s="107" t="n">
        <f aca="false">'Cash Flow'!AH1</f>
        <v>26</v>
      </c>
      <c r="AI1" s="107" t="n">
        <f aca="false">'Cash Flow'!AI1</f>
        <v>27</v>
      </c>
      <c r="AJ1" s="107" t="n">
        <f aca="false">'Cash Flow'!AJ1</f>
        <v>28</v>
      </c>
      <c r="AK1" s="107" t="n">
        <f aca="false">'Cash Flow'!AK1</f>
        <v>29</v>
      </c>
      <c r="AL1" s="107" t="n">
        <f aca="false">'Cash Flow'!AL1</f>
        <v>30</v>
      </c>
      <c r="AM1" s="107"/>
    </row>
    <row r="2" customFormat="false" ht="15" hidden="false" customHeight="false" outlineLevel="0" collapsed="false">
      <c r="A2" s="14" t="str">
        <f aca="false">Parameters!A2</f>
        <v>25.01.2017</v>
      </c>
      <c r="B2" s="14"/>
      <c r="C2" s="14"/>
      <c r="D2" s="14"/>
      <c r="E2" s="15"/>
      <c r="F2" s="15"/>
      <c r="G2" s="15"/>
      <c r="H2" s="108" t="str">
        <f aca="false">'Cash Flow'!H2</f>
        <v>Start Date</v>
      </c>
      <c r="I2" s="109" t="n">
        <f aca="false">'Cash Flow'!I2</f>
        <v>42522</v>
      </c>
      <c r="J2" s="109" t="n">
        <f aca="false">'Cash Flow'!J2</f>
        <v>42887</v>
      </c>
      <c r="K2" s="109" t="n">
        <f aca="false">'Cash Flow'!K2</f>
        <v>43252</v>
      </c>
      <c r="L2" s="109" t="n">
        <f aca="false">'Cash Flow'!L2</f>
        <v>43617</v>
      </c>
      <c r="M2" s="109" t="n">
        <f aca="false">'Cash Flow'!M2</f>
        <v>43982</v>
      </c>
      <c r="N2" s="109" t="n">
        <f aca="false">'Cash Flow'!N2</f>
        <v>44348</v>
      </c>
      <c r="O2" s="109" t="n">
        <f aca="false">'Cash Flow'!O2</f>
        <v>44713</v>
      </c>
      <c r="P2" s="109" t="n">
        <f aca="false">'Cash Flow'!P2</f>
        <v>45078</v>
      </c>
      <c r="Q2" s="109" t="n">
        <f aca="false">'Cash Flow'!Q2</f>
        <v>45443</v>
      </c>
      <c r="R2" s="109" t="n">
        <f aca="false">'Cash Flow'!R2</f>
        <v>45809</v>
      </c>
      <c r="S2" s="109" t="n">
        <f aca="false">'Cash Flow'!S2</f>
        <v>46174</v>
      </c>
      <c r="T2" s="109" t="n">
        <f aca="false">'Cash Flow'!T2</f>
        <v>46539</v>
      </c>
      <c r="U2" s="109" t="n">
        <f aca="false">'Cash Flow'!U2</f>
        <v>46904</v>
      </c>
      <c r="V2" s="109" t="n">
        <f aca="false">'Cash Flow'!V2</f>
        <v>47270</v>
      </c>
      <c r="W2" s="109" t="n">
        <f aca="false">'Cash Flow'!W2</f>
        <v>47635</v>
      </c>
      <c r="X2" s="109" t="n">
        <f aca="false">'Cash Flow'!X2</f>
        <v>48000</v>
      </c>
      <c r="Y2" s="109" t="n">
        <f aca="false">'Cash Flow'!Y2</f>
        <v>48365</v>
      </c>
      <c r="Z2" s="109" t="n">
        <f aca="false">'Cash Flow'!Z2</f>
        <v>48731</v>
      </c>
      <c r="AA2" s="109" t="n">
        <f aca="false">'Cash Flow'!AA2</f>
        <v>49096</v>
      </c>
      <c r="AB2" s="109" t="n">
        <f aca="false">'Cash Flow'!AB2</f>
        <v>49461</v>
      </c>
      <c r="AC2" s="109" t="n">
        <f aca="false">'Cash Flow'!AC2</f>
        <v>49826</v>
      </c>
      <c r="AD2" s="109" t="n">
        <f aca="false">'Cash Flow'!AD2</f>
        <v>50192</v>
      </c>
      <c r="AE2" s="109" t="n">
        <f aca="false">'Cash Flow'!AE2</f>
        <v>50557</v>
      </c>
      <c r="AF2" s="109" t="n">
        <f aca="false">'Cash Flow'!AF2</f>
        <v>50922</v>
      </c>
      <c r="AG2" s="109" t="n">
        <f aca="false">'Cash Flow'!AG2</f>
        <v>51287</v>
      </c>
      <c r="AH2" s="109" t="n">
        <f aca="false">'Cash Flow'!AH2</f>
        <v>51653</v>
      </c>
      <c r="AI2" s="109" t="n">
        <f aca="false">'Cash Flow'!AI2</f>
        <v>52018</v>
      </c>
      <c r="AJ2" s="109" t="n">
        <f aca="false">'Cash Flow'!AJ2</f>
        <v>52383</v>
      </c>
      <c r="AK2" s="109" t="n">
        <f aca="false">'Cash Flow'!AK2</f>
        <v>52748</v>
      </c>
      <c r="AL2" s="109" t="n">
        <f aca="false">'Cash Flow'!AL2</f>
        <v>53114</v>
      </c>
      <c r="AM2" s="109"/>
    </row>
    <row r="3" customFormat="false" ht="15" hidden="false" customHeight="false" outlineLevel="0" collapsed="false">
      <c r="A3" s="14" t="str">
        <f aca="false">Parameters!A3</f>
        <v>customer GROUP</v>
      </c>
      <c r="B3" s="14"/>
      <c r="C3" s="14"/>
      <c r="D3" s="14"/>
      <c r="E3" s="15"/>
      <c r="F3" s="15"/>
      <c r="G3" s="15"/>
      <c r="H3" s="108" t="str">
        <f aca="false">'Cash Flow'!H3</f>
        <v>End Date</v>
      </c>
      <c r="I3" s="109" t="n">
        <f aca="false">'Cash Flow'!I3</f>
        <v>42886</v>
      </c>
      <c r="J3" s="109" t="n">
        <f aca="false">'Cash Flow'!J3</f>
        <v>43251</v>
      </c>
      <c r="K3" s="109" t="n">
        <f aca="false">'Cash Flow'!K3</f>
        <v>43616</v>
      </c>
      <c r="L3" s="109" t="n">
        <f aca="false">'Cash Flow'!L3</f>
        <v>43981</v>
      </c>
      <c r="M3" s="109" t="n">
        <f aca="false">'Cash Flow'!M3</f>
        <v>44347</v>
      </c>
      <c r="N3" s="109" t="n">
        <f aca="false">'Cash Flow'!N3</f>
        <v>44712</v>
      </c>
      <c r="O3" s="109" t="n">
        <f aca="false">'Cash Flow'!O3</f>
        <v>45077</v>
      </c>
      <c r="P3" s="109" t="n">
        <f aca="false">'Cash Flow'!P3</f>
        <v>45442</v>
      </c>
      <c r="Q3" s="109" t="n">
        <f aca="false">'Cash Flow'!Q3</f>
        <v>45808</v>
      </c>
      <c r="R3" s="109" t="n">
        <f aca="false">'Cash Flow'!R3</f>
        <v>46173</v>
      </c>
      <c r="S3" s="109" t="n">
        <f aca="false">'Cash Flow'!S3</f>
        <v>46538</v>
      </c>
      <c r="T3" s="109" t="n">
        <f aca="false">'Cash Flow'!T3</f>
        <v>46903</v>
      </c>
      <c r="U3" s="109" t="n">
        <f aca="false">'Cash Flow'!U3</f>
        <v>47269</v>
      </c>
      <c r="V3" s="109" t="n">
        <f aca="false">'Cash Flow'!V3</f>
        <v>47634</v>
      </c>
      <c r="W3" s="109" t="n">
        <f aca="false">'Cash Flow'!W3</f>
        <v>47999</v>
      </c>
      <c r="X3" s="109" t="n">
        <f aca="false">'Cash Flow'!X3</f>
        <v>48364</v>
      </c>
      <c r="Y3" s="109" t="n">
        <f aca="false">'Cash Flow'!Y3</f>
        <v>48730</v>
      </c>
      <c r="Z3" s="109" t="n">
        <f aca="false">'Cash Flow'!Z3</f>
        <v>49095</v>
      </c>
      <c r="AA3" s="109" t="n">
        <f aca="false">'Cash Flow'!AA3</f>
        <v>49460</v>
      </c>
      <c r="AB3" s="109" t="n">
        <f aca="false">'Cash Flow'!AB3</f>
        <v>49825</v>
      </c>
      <c r="AC3" s="109" t="n">
        <f aca="false">'Cash Flow'!AC3</f>
        <v>50191</v>
      </c>
      <c r="AD3" s="109" t="n">
        <f aca="false">'Cash Flow'!AD3</f>
        <v>50556</v>
      </c>
      <c r="AE3" s="109" t="n">
        <f aca="false">'Cash Flow'!AE3</f>
        <v>50921</v>
      </c>
      <c r="AF3" s="109" t="n">
        <f aca="false">'Cash Flow'!AF3</f>
        <v>51286</v>
      </c>
      <c r="AG3" s="109" t="n">
        <f aca="false">'Cash Flow'!AG3</f>
        <v>51652</v>
      </c>
      <c r="AH3" s="109" t="n">
        <f aca="false">'Cash Flow'!AH3</f>
        <v>52017</v>
      </c>
      <c r="AI3" s="109" t="n">
        <f aca="false">'Cash Flow'!AI3</f>
        <v>52382</v>
      </c>
      <c r="AJ3" s="109" t="n">
        <f aca="false">'Cash Flow'!AJ3</f>
        <v>52747</v>
      </c>
      <c r="AK3" s="109" t="n">
        <f aca="false">'Cash Flow'!AK3</f>
        <v>53113</v>
      </c>
      <c r="AL3" s="109" t="n">
        <f aca="false">'Cash Flow'!AL3</f>
        <v>53478</v>
      </c>
      <c r="AM3" s="109"/>
    </row>
    <row r="4" customFormat="false" ht="15" hidden="false" customHeight="false" outlineLevel="0" collapsed="false">
      <c r="A4" s="14" t="e">
        <f aca="false">Parameters!A4</f>
        <v>#VALUE!</v>
      </c>
      <c r="B4" s="14"/>
      <c r="C4" s="14"/>
      <c r="D4" s="14"/>
      <c r="E4" s="15"/>
      <c r="F4" s="15"/>
      <c r="G4" s="15"/>
      <c r="H4" s="108" t="str">
        <f aca="false">'Cash Flow'!H4</f>
        <v>No. of Days</v>
      </c>
      <c r="I4" s="15" t="n">
        <f aca="false">'Cash Flow'!I4</f>
        <v>365</v>
      </c>
      <c r="J4" s="15" t="n">
        <f aca="false">'Cash Flow'!J4</f>
        <v>365</v>
      </c>
      <c r="K4" s="15" t="n">
        <f aca="false">'Cash Flow'!K4</f>
        <v>365</v>
      </c>
      <c r="L4" s="15" t="n">
        <f aca="false">'Cash Flow'!L4</f>
        <v>365</v>
      </c>
      <c r="M4" s="15" t="n">
        <f aca="false">'Cash Flow'!M4</f>
        <v>366</v>
      </c>
      <c r="N4" s="15" t="n">
        <f aca="false">'Cash Flow'!N4</f>
        <v>365</v>
      </c>
      <c r="O4" s="15" t="n">
        <f aca="false">'Cash Flow'!O4</f>
        <v>365</v>
      </c>
      <c r="P4" s="15" t="n">
        <f aca="false">'Cash Flow'!P4</f>
        <v>365</v>
      </c>
      <c r="Q4" s="15" t="n">
        <f aca="false">'Cash Flow'!Q4</f>
        <v>366</v>
      </c>
      <c r="R4" s="15" t="n">
        <f aca="false">'Cash Flow'!R4</f>
        <v>365</v>
      </c>
      <c r="S4" s="15" t="n">
        <f aca="false">'Cash Flow'!S4</f>
        <v>365</v>
      </c>
      <c r="T4" s="15" t="n">
        <f aca="false">'Cash Flow'!T4</f>
        <v>365</v>
      </c>
      <c r="U4" s="15" t="n">
        <f aca="false">'Cash Flow'!U4</f>
        <v>366</v>
      </c>
      <c r="V4" s="15" t="n">
        <f aca="false">'Cash Flow'!V4</f>
        <v>365</v>
      </c>
      <c r="W4" s="15" t="n">
        <f aca="false">'Cash Flow'!W4</f>
        <v>365</v>
      </c>
      <c r="X4" s="15" t="n">
        <f aca="false">'Cash Flow'!X4</f>
        <v>365</v>
      </c>
      <c r="Y4" s="15" t="n">
        <f aca="false">'Cash Flow'!Y4</f>
        <v>366</v>
      </c>
      <c r="Z4" s="15" t="n">
        <f aca="false">'Cash Flow'!Z4</f>
        <v>365</v>
      </c>
      <c r="AA4" s="15" t="n">
        <f aca="false">'Cash Flow'!AA4</f>
        <v>365</v>
      </c>
      <c r="AB4" s="15" t="n">
        <f aca="false">'Cash Flow'!AB4</f>
        <v>365</v>
      </c>
      <c r="AC4" s="15" t="n">
        <f aca="false">'Cash Flow'!AC4</f>
        <v>366</v>
      </c>
      <c r="AD4" s="15" t="n">
        <f aca="false">'Cash Flow'!AD4</f>
        <v>365</v>
      </c>
      <c r="AE4" s="15" t="n">
        <f aca="false">'Cash Flow'!AE4</f>
        <v>365</v>
      </c>
      <c r="AF4" s="15" t="n">
        <f aca="false">'Cash Flow'!AF4</f>
        <v>365</v>
      </c>
      <c r="AG4" s="15" t="n">
        <f aca="false">'Cash Flow'!AG4</f>
        <v>366</v>
      </c>
      <c r="AH4" s="15" t="n">
        <f aca="false">'Cash Flow'!AH4</f>
        <v>365</v>
      </c>
      <c r="AI4" s="15" t="n">
        <f aca="false">'Cash Flow'!AI4</f>
        <v>365</v>
      </c>
      <c r="AJ4" s="15" t="n">
        <f aca="false">'Cash Flow'!AJ4</f>
        <v>365</v>
      </c>
      <c r="AK4" s="15" t="n">
        <f aca="false">'Cash Flow'!AK4</f>
        <v>366</v>
      </c>
      <c r="AL4" s="15" t="n">
        <f aca="false">'Cash Flow'!AL4</f>
        <v>365</v>
      </c>
      <c r="AM4" s="15"/>
    </row>
    <row r="6" customFormat="false" ht="15" hidden="false" customHeight="false" outlineLevel="1" collapsed="false">
      <c r="C6" s="0" t="s">
        <v>191</v>
      </c>
      <c r="E6" s="104" t="s">
        <v>192</v>
      </c>
      <c r="G6" s="0" t="n">
        <f aca="false">SUM(I6:AL6)</f>
        <v>1</v>
      </c>
      <c r="H6" s="0"/>
      <c r="I6" s="0" t="n">
        <f aca="false">1*(I1&lt;=Dev_Period)</f>
        <v>1</v>
      </c>
      <c r="J6" s="0" t="n">
        <f aca="false">1*(J1&lt;=Dev_Period)</f>
        <v>0</v>
      </c>
      <c r="K6" s="0" t="n">
        <f aca="false">1*(K1&lt;=Dev_Period)</f>
        <v>0</v>
      </c>
      <c r="L6" s="0" t="n">
        <f aca="false">1*(L1&lt;=Dev_Period)</f>
        <v>0</v>
      </c>
      <c r="M6" s="0" t="n">
        <f aca="false">1*(M1&lt;=Dev_Period)</f>
        <v>0</v>
      </c>
      <c r="N6" s="0" t="n">
        <f aca="false">1*(N1&lt;=Dev_Period)</f>
        <v>0</v>
      </c>
      <c r="O6" s="0" t="n">
        <f aca="false">1*(O1&lt;=Dev_Period)</f>
        <v>0</v>
      </c>
      <c r="P6" s="0" t="n">
        <f aca="false">1*(P1&lt;=Dev_Period)</f>
        <v>0</v>
      </c>
      <c r="Q6" s="0" t="n">
        <f aca="false">1*(Q1&lt;=Dev_Period)</f>
        <v>0</v>
      </c>
      <c r="R6" s="0" t="n">
        <f aca="false">1*(R1&lt;=Dev_Period)</f>
        <v>0</v>
      </c>
      <c r="S6" s="0" t="n">
        <f aca="false">1*(S1&lt;=Dev_Period)</f>
        <v>0</v>
      </c>
      <c r="T6" s="0" t="n">
        <f aca="false">1*(T1&lt;=Dev_Period)</f>
        <v>0</v>
      </c>
      <c r="U6" s="0" t="n">
        <f aca="false">1*(U1&lt;=Dev_Period)</f>
        <v>0</v>
      </c>
      <c r="V6" s="0" t="n">
        <f aca="false">1*(V1&lt;=Dev_Period)</f>
        <v>0</v>
      </c>
      <c r="W6" s="0" t="n">
        <f aca="false">1*(W1&lt;=Dev_Period)</f>
        <v>0</v>
      </c>
      <c r="X6" s="0" t="n">
        <f aca="false">1*(X1&lt;=Dev_Period)</f>
        <v>0</v>
      </c>
      <c r="Y6" s="0" t="n">
        <f aca="false">1*(Y1&lt;=Dev_Period)</f>
        <v>0</v>
      </c>
      <c r="Z6" s="0" t="n">
        <f aca="false">1*(Z1&lt;=Dev_Period)</f>
        <v>0</v>
      </c>
      <c r="AA6" s="0" t="n">
        <f aca="false">1*(AA1&lt;=Dev_Period)</f>
        <v>0</v>
      </c>
      <c r="AB6" s="0" t="n">
        <f aca="false">1*(AB1&lt;=Dev_Period)</f>
        <v>0</v>
      </c>
      <c r="AC6" s="0" t="n">
        <f aca="false">1*(AC1&lt;=Dev_Period)</f>
        <v>0</v>
      </c>
      <c r="AD6" s="0" t="n">
        <f aca="false">1*(AD1&lt;=Dev_Period)</f>
        <v>0</v>
      </c>
      <c r="AE6" s="0" t="n">
        <f aca="false">1*(AE1&lt;=Dev_Period)</f>
        <v>0</v>
      </c>
      <c r="AF6" s="0" t="n">
        <f aca="false">1*(AF1&lt;=Dev_Period)</f>
        <v>0</v>
      </c>
      <c r="AG6" s="0" t="n">
        <f aca="false">1*(AG1&lt;=Dev_Period)</f>
        <v>0</v>
      </c>
      <c r="AH6" s="0" t="n">
        <f aca="false">1*(AH1&lt;=Dev_Period)</f>
        <v>0</v>
      </c>
      <c r="AI6" s="0" t="n">
        <f aca="false">1*(AI1&lt;=Dev_Period)</f>
        <v>0</v>
      </c>
      <c r="AJ6" s="0" t="n">
        <f aca="false">1*(AJ1&lt;=Dev_Period)</f>
        <v>0</v>
      </c>
      <c r="AK6" s="0" t="n">
        <f aca="false">1*(AK1&lt;=Dev_Period)</f>
        <v>0</v>
      </c>
      <c r="AL6" s="0" t="n">
        <f aca="false">1*(AL1&lt;=Dev_Period)</f>
        <v>0</v>
      </c>
    </row>
    <row r="7" customFormat="false" ht="15" hidden="false" customHeight="false" outlineLevel="1" collapsed="false">
      <c r="C7" s="0" t="s">
        <v>193</v>
      </c>
      <c r="E7" s="104" t="s">
        <v>192</v>
      </c>
      <c r="G7" s="0" t="n">
        <f aca="false">SUM(I7:AL7)</f>
        <v>20</v>
      </c>
      <c r="H7" s="0"/>
      <c r="I7" s="0" t="n">
        <f aca="false">1*(I6=0)*((I1-Dev_Period)&lt;=PPA_duration)</f>
        <v>0</v>
      </c>
      <c r="J7" s="0" t="n">
        <f aca="false">1*(J6=0)*((J1-Dev_Period)&lt;=PPA_duration)</f>
        <v>1</v>
      </c>
      <c r="K7" s="0" t="n">
        <f aca="false">1*(K6=0)*((K1-Dev_Period)&lt;=PPA_duration)</f>
        <v>1</v>
      </c>
      <c r="L7" s="0" t="n">
        <f aca="false">1*(L6=0)*((L1-Dev_Period)&lt;=PPA_duration)</f>
        <v>1</v>
      </c>
      <c r="M7" s="0" t="n">
        <f aca="false">1*(M6=0)*((M1-Dev_Period)&lt;=PPA_duration)</f>
        <v>1</v>
      </c>
      <c r="N7" s="0" t="n">
        <f aca="false">1*(N6=0)*((N1-Dev_Period)&lt;=PPA_duration)</f>
        <v>1</v>
      </c>
      <c r="O7" s="0" t="n">
        <f aca="false">1*(O6=0)*((O1-Dev_Period)&lt;=PPA_duration)</f>
        <v>1</v>
      </c>
      <c r="P7" s="0" t="n">
        <f aca="false">1*(P6=0)*((P1-Dev_Period)&lt;=PPA_duration)</f>
        <v>1</v>
      </c>
      <c r="Q7" s="0" t="n">
        <f aca="false">1*(Q6=0)*((Q1-Dev_Period)&lt;=PPA_duration)</f>
        <v>1</v>
      </c>
      <c r="R7" s="0" t="n">
        <f aca="false">1*(R6=0)*((R1-Dev_Period)&lt;=PPA_duration)</f>
        <v>1</v>
      </c>
      <c r="S7" s="0" t="n">
        <f aca="false">1*(S6=0)*((S1-Dev_Period)&lt;=PPA_duration)</f>
        <v>1</v>
      </c>
      <c r="T7" s="0" t="n">
        <f aca="false">1*(T6=0)*((T1-Dev_Period)&lt;=PPA_duration)</f>
        <v>1</v>
      </c>
      <c r="U7" s="0" t="n">
        <f aca="false">1*(U6=0)*((U1-Dev_Period)&lt;=PPA_duration)</f>
        <v>1</v>
      </c>
      <c r="V7" s="0" t="n">
        <f aca="false">1*(V6=0)*((V1-Dev_Period)&lt;=PPA_duration)</f>
        <v>1</v>
      </c>
      <c r="W7" s="0" t="n">
        <f aca="false">1*(W6=0)*((W1-Dev_Period)&lt;=PPA_duration)</f>
        <v>1</v>
      </c>
      <c r="X7" s="0" t="n">
        <f aca="false">1*(X6=0)*((X1-Dev_Period)&lt;=PPA_duration)</f>
        <v>1</v>
      </c>
      <c r="Y7" s="0" t="n">
        <f aca="false">1*(Y6=0)*((Y1-Dev_Period)&lt;=PPA_duration)</f>
        <v>1</v>
      </c>
      <c r="Z7" s="0" t="n">
        <f aca="false">1*(Z6=0)*((Z1-Dev_Period)&lt;=PPA_duration)</f>
        <v>1</v>
      </c>
      <c r="AA7" s="0" t="n">
        <f aca="false">1*(AA6=0)*((AA1-Dev_Period)&lt;=PPA_duration)</f>
        <v>1</v>
      </c>
      <c r="AB7" s="0" t="n">
        <f aca="false">1*(AB6=0)*((AB1-Dev_Period)&lt;=PPA_duration)</f>
        <v>1</v>
      </c>
      <c r="AC7" s="0" t="n">
        <f aca="false">1*(AC6=0)*((AC1-Dev_Period)&lt;=PPA_duration)</f>
        <v>1</v>
      </c>
      <c r="AD7" s="0" t="n">
        <f aca="false">1*(AD6=0)*((AD1-Dev_Period)&lt;=PPA_duration)</f>
        <v>0</v>
      </c>
      <c r="AE7" s="0" t="n">
        <f aca="false">1*(AE6=0)*((AE1-Dev_Period)&lt;=PPA_duration)</f>
        <v>0</v>
      </c>
      <c r="AF7" s="0" t="n">
        <f aca="false">1*(AF6=0)*((AF1-Dev_Period)&lt;=PPA_duration)</f>
        <v>0</v>
      </c>
      <c r="AG7" s="0" t="n">
        <f aca="false">1*(AG6=0)*((AG1-Dev_Period)&lt;=PPA_duration)</f>
        <v>0</v>
      </c>
      <c r="AH7" s="0" t="n">
        <f aca="false">1*(AH6=0)*((AH1-Dev_Period)&lt;=PPA_duration)</f>
        <v>0</v>
      </c>
      <c r="AI7" s="0" t="n">
        <f aca="false">1*(AI6=0)*((AI1-Dev_Period)&lt;=PPA_duration)</f>
        <v>0</v>
      </c>
      <c r="AJ7" s="0" t="n">
        <f aca="false">1*(AJ6=0)*((AJ1-Dev_Period)&lt;=PPA_duration)</f>
        <v>0</v>
      </c>
      <c r="AK7" s="0" t="n">
        <f aca="false">1*(AK6=0)*((AK1-Dev_Period)&lt;=PPA_duration)</f>
        <v>0</v>
      </c>
      <c r="AL7" s="0" t="n">
        <f aca="false">1*(AL6=0)*((AL1-Dev_Period)&lt;=PPA_duration)</f>
        <v>0</v>
      </c>
    </row>
    <row r="8" customFormat="false" ht="15" hidden="false" customHeight="false" outlineLevel="1" collapsed="false">
      <c r="C8" s="0" t="s">
        <v>298</v>
      </c>
      <c r="E8" s="104" t="s">
        <v>192</v>
      </c>
      <c r="H8" s="0"/>
      <c r="I8" s="0" t="n">
        <v>1</v>
      </c>
      <c r="J8" s="0" t="n">
        <v>0</v>
      </c>
      <c r="K8" s="0" t="n">
        <v>0</v>
      </c>
      <c r="L8" s="0" t="n">
        <v>0</v>
      </c>
      <c r="M8" s="0" t="n">
        <v>0</v>
      </c>
      <c r="N8" s="0" t="n">
        <v>0</v>
      </c>
      <c r="O8" s="0" t="n">
        <v>0</v>
      </c>
      <c r="P8" s="0" t="n">
        <v>0</v>
      </c>
      <c r="Q8" s="0" t="n">
        <v>0</v>
      </c>
      <c r="R8" s="0" t="n">
        <v>0</v>
      </c>
      <c r="S8" s="0" t="n">
        <v>0</v>
      </c>
      <c r="T8" s="0" t="n">
        <v>0</v>
      </c>
      <c r="U8" s="0" t="n">
        <v>0</v>
      </c>
      <c r="V8" s="0" t="n">
        <v>0</v>
      </c>
      <c r="W8" s="0" t="n">
        <v>0</v>
      </c>
      <c r="X8" s="0" t="n">
        <v>0</v>
      </c>
      <c r="Y8" s="0" t="n">
        <v>0</v>
      </c>
      <c r="Z8" s="0" t="n">
        <v>0</v>
      </c>
      <c r="AA8" s="0" t="n">
        <v>0</v>
      </c>
      <c r="AB8" s="0" t="n">
        <v>0</v>
      </c>
      <c r="AC8" s="0" t="n">
        <v>0</v>
      </c>
      <c r="AD8" s="0" t="n">
        <v>0</v>
      </c>
      <c r="AE8" s="0" t="n">
        <v>0</v>
      </c>
      <c r="AF8" s="0" t="n">
        <v>0</v>
      </c>
      <c r="AG8" s="0" t="n">
        <v>0</v>
      </c>
      <c r="AH8" s="0" t="n">
        <v>0</v>
      </c>
      <c r="AI8" s="0" t="n">
        <v>0</v>
      </c>
      <c r="AJ8" s="0" t="n">
        <v>0</v>
      </c>
      <c r="AK8" s="0" t="n">
        <v>0</v>
      </c>
      <c r="AL8" s="0" t="n">
        <v>0</v>
      </c>
    </row>
    <row r="9" customFormat="false" ht="15" hidden="false" customHeight="false" outlineLevel="1" collapsed="false">
      <c r="C9" s="0" t="s">
        <v>196</v>
      </c>
      <c r="E9" s="104" t="s">
        <v>192</v>
      </c>
      <c r="H9" s="0"/>
      <c r="I9" s="0" t="n">
        <f aca="false">1*(I1=Dev_Period)</f>
        <v>1</v>
      </c>
      <c r="J9" s="0" t="n">
        <f aca="false">1*(J1=Dev_Period)</f>
        <v>0</v>
      </c>
      <c r="K9" s="0" t="n">
        <f aca="false">1*(K1=Dev_Period)</f>
        <v>0</v>
      </c>
      <c r="L9" s="0" t="n">
        <f aca="false">1*(L1=Dev_Period)</f>
        <v>0</v>
      </c>
      <c r="M9" s="0" t="n">
        <f aca="false">1*(M1=Dev_Period)</f>
        <v>0</v>
      </c>
      <c r="N9" s="0" t="n">
        <f aca="false">1*(N1=Dev_Period)</f>
        <v>0</v>
      </c>
      <c r="O9" s="0" t="n">
        <f aca="false">1*(O1=Dev_Period)</f>
        <v>0</v>
      </c>
      <c r="P9" s="0" t="n">
        <f aca="false">1*(P1=Dev_Period)</f>
        <v>0</v>
      </c>
      <c r="Q9" s="0" t="n">
        <f aca="false">1*(Q1=Dev_Period)</f>
        <v>0</v>
      </c>
      <c r="R9" s="0" t="n">
        <f aca="false">1*(R1=Dev_Period)</f>
        <v>0</v>
      </c>
      <c r="S9" s="0" t="n">
        <f aca="false">1*(S1=Dev_Period)</f>
        <v>0</v>
      </c>
      <c r="T9" s="0" t="n">
        <f aca="false">1*(T1=Dev_Period)</f>
        <v>0</v>
      </c>
      <c r="U9" s="0" t="n">
        <f aca="false">1*(U1=Dev_Period)</f>
        <v>0</v>
      </c>
      <c r="V9" s="0" t="n">
        <f aca="false">1*(V1=Dev_Period)</f>
        <v>0</v>
      </c>
      <c r="W9" s="0" t="n">
        <f aca="false">1*(W1=Dev_Period)</f>
        <v>0</v>
      </c>
      <c r="X9" s="0" t="n">
        <f aca="false">1*(X1=Dev_Period)</f>
        <v>0</v>
      </c>
      <c r="Y9" s="0" t="n">
        <f aca="false">1*(Y1=Dev_Period)</f>
        <v>0</v>
      </c>
      <c r="Z9" s="0" t="n">
        <f aca="false">1*(Z1=Dev_Period)</f>
        <v>0</v>
      </c>
      <c r="AA9" s="0" t="n">
        <f aca="false">1*(AA1=Dev_Period)</f>
        <v>0</v>
      </c>
      <c r="AB9" s="0" t="n">
        <f aca="false">1*(AB1=Dev_Period)</f>
        <v>0</v>
      </c>
      <c r="AC9" s="0" t="n">
        <f aca="false">1*(AC1=Dev_Period)</f>
        <v>0</v>
      </c>
      <c r="AD9" s="0" t="n">
        <f aca="false">1*(AD1=Dev_Period)</f>
        <v>0</v>
      </c>
      <c r="AE9" s="0" t="n">
        <f aca="false">1*(AE1=Dev_Period)</f>
        <v>0</v>
      </c>
      <c r="AF9" s="0" t="n">
        <f aca="false">1*(AF1=Dev_Period)</f>
        <v>0</v>
      </c>
      <c r="AG9" s="0" t="n">
        <f aca="false">1*(AG1=Dev_Period)</f>
        <v>0</v>
      </c>
      <c r="AH9" s="0" t="n">
        <f aca="false">1*(AH1=Dev_Period)</f>
        <v>0</v>
      </c>
      <c r="AI9" s="0" t="n">
        <f aca="false">1*(AI1=Dev_Period)</f>
        <v>0</v>
      </c>
      <c r="AJ9" s="0" t="n">
        <f aca="false">1*(AJ1=Dev_Period)</f>
        <v>0</v>
      </c>
      <c r="AK9" s="0" t="n">
        <f aca="false">1*(AK1=Dev_Period)</f>
        <v>0</v>
      </c>
      <c r="AL9" s="0" t="n">
        <f aca="false">1*(AL1=Dev_Period)</f>
        <v>0</v>
      </c>
    </row>
    <row r="10" customFormat="false" ht="15" hidden="false" customHeight="false" outlineLevel="1" collapsed="false">
      <c r="C10" s="0" t="s">
        <v>194</v>
      </c>
      <c r="E10" s="104" t="s">
        <v>195</v>
      </c>
      <c r="H10" s="0"/>
      <c r="I10" s="0" t="n">
        <f aca="false">SUM($I$7:I7)*I7</f>
        <v>0</v>
      </c>
      <c r="J10" s="0" t="n">
        <f aca="false">SUM($I$7:J7)*J7</f>
        <v>1</v>
      </c>
      <c r="K10" s="0" t="n">
        <f aca="false">SUM($I$7:K7)*K7</f>
        <v>2</v>
      </c>
      <c r="L10" s="0" t="n">
        <f aca="false">SUM($I$7:L7)*L7</f>
        <v>3</v>
      </c>
      <c r="M10" s="0" t="n">
        <f aca="false">SUM($I$7:M7)*M7</f>
        <v>4</v>
      </c>
      <c r="N10" s="0" t="n">
        <f aca="false">SUM($I$7:N7)*N7</f>
        <v>5</v>
      </c>
      <c r="O10" s="0" t="n">
        <f aca="false">SUM($I$7:O7)*O7</f>
        <v>6</v>
      </c>
      <c r="P10" s="0" t="n">
        <f aca="false">SUM($I$7:P7)*P7</f>
        <v>7</v>
      </c>
      <c r="Q10" s="0" t="n">
        <f aca="false">SUM($I$7:Q7)*Q7</f>
        <v>8</v>
      </c>
      <c r="R10" s="0" t="n">
        <f aca="false">SUM($I$7:R7)*R7</f>
        <v>9</v>
      </c>
      <c r="S10" s="0" t="n">
        <f aca="false">SUM($I$7:S7)*S7</f>
        <v>10</v>
      </c>
      <c r="T10" s="0" t="n">
        <f aca="false">SUM($I$7:T7)*T7</f>
        <v>11</v>
      </c>
      <c r="U10" s="0" t="n">
        <f aca="false">SUM($I$7:U7)*U7</f>
        <v>12</v>
      </c>
      <c r="V10" s="0" t="n">
        <f aca="false">SUM($I$7:V7)*V7</f>
        <v>13</v>
      </c>
      <c r="W10" s="0" t="n">
        <f aca="false">SUM($I$7:W7)*W7</f>
        <v>14</v>
      </c>
      <c r="X10" s="0" t="n">
        <f aca="false">SUM($I$7:X7)*X7</f>
        <v>15</v>
      </c>
      <c r="Y10" s="0" t="n">
        <f aca="false">SUM($I$7:Y7)*Y7</f>
        <v>16</v>
      </c>
      <c r="Z10" s="0" t="n">
        <f aca="false">SUM($I$7:Z7)*Z7</f>
        <v>17</v>
      </c>
      <c r="AA10" s="0" t="n">
        <f aca="false">SUM($I$7:AA7)*AA7</f>
        <v>18</v>
      </c>
      <c r="AB10" s="0" t="n">
        <f aca="false">SUM($I$7:AB7)*AB7</f>
        <v>19</v>
      </c>
      <c r="AC10" s="0" t="n">
        <f aca="false">SUM($I$7:AC7)*AC7</f>
        <v>20</v>
      </c>
      <c r="AD10" s="0" t="n">
        <f aca="false">SUM($I$7:AD7)*AD7</f>
        <v>0</v>
      </c>
      <c r="AE10" s="0" t="n">
        <f aca="false">SUM($I$7:AE7)*AE7</f>
        <v>0</v>
      </c>
      <c r="AF10" s="0" t="n">
        <f aca="false">SUM($I$7:AF7)*AF7</f>
        <v>0</v>
      </c>
      <c r="AG10" s="0" t="n">
        <f aca="false">SUM($I$7:AG7)*AG7</f>
        <v>0</v>
      </c>
      <c r="AH10" s="0" t="n">
        <f aca="false">SUM($I$7:AH7)*AH7</f>
        <v>0</v>
      </c>
      <c r="AI10" s="0" t="n">
        <f aca="false">SUM($I$7:AI7)*AI7</f>
        <v>0</v>
      </c>
      <c r="AJ10" s="0" t="n">
        <f aca="false">SUM($I$7:AJ7)*AJ7</f>
        <v>0</v>
      </c>
      <c r="AK10" s="0" t="n">
        <f aca="false">SUM($I$7:AK7)*AK7</f>
        <v>0</v>
      </c>
      <c r="AL10" s="0" t="n">
        <f aca="false">SUM($I$7:AL7)*AL7</f>
        <v>0</v>
      </c>
    </row>
    <row r="11" customFormat="false" ht="15" hidden="false" customHeight="false" outlineLevel="1" collapsed="false">
      <c r="C11" s="0" t="s">
        <v>202</v>
      </c>
      <c r="E11" s="104" t="s">
        <v>192</v>
      </c>
      <c r="H11" s="0"/>
      <c r="I11" s="0" t="n">
        <f aca="false">1*(I10=PPA_duration)</f>
        <v>0</v>
      </c>
      <c r="J11" s="0" t="n">
        <f aca="false">1*(J10=PPA_duration)</f>
        <v>0</v>
      </c>
      <c r="K11" s="0" t="n">
        <f aca="false">1*(K10=PPA_duration)</f>
        <v>0</v>
      </c>
      <c r="L11" s="0" t="n">
        <f aca="false">1*(L10=PPA_duration)</f>
        <v>0</v>
      </c>
      <c r="M11" s="0" t="n">
        <f aca="false">1*(M10=PPA_duration)</f>
        <v>0</v>
      </c>
      <c r="N11" s="0" t="n">
        <f aca="false">1*(N10=PPA_duration)</f>
        <v>0</v>
      </c>
      <c r="O11" s="0" t="n">
        <f aca="false">1*(O10=PPA_duration)</f>
        <v>0</v>
      </c>
      <c r="P11" s="0" t="n">
        <f aca="false">1*(P10=PPA_duration)</f>
        <v>0</v>
      </c>
      <c r="Q11" s="0" t="n">
        <f aca="false">1*(Q10=PPA_duration)</f>
        <v>0</v>
      </c>
      <c r="R11" s="0" t="n">
        <f aca="false">1*(R10=PPA_duration)</f>
        <v>0</v>
      </c>
      <c r="S11" s="0" t="n">
        <f aca="false">1*(S10=PPA_duration)</f>
        <v>0</v>
      </c>
      <c r="T11" s="0" t="n">
        <f aca="false">1*(T10=PPA_duration)</f>
        <v>0</v>
      </c>
      <c r="U11" s="0" t="n">
        <f aca="false">1*(U10=PPA_duration)</f>
        <v>0</v>
      </c>
      <c r="V11" s="0" t="n">
        <f aca="false">1*(V10=PPA_duration)</f>
        <v>0</v>
      </c>
      <c r="W11" s="0" t="n">
        <f aca="false">1*(W10=PPA_duration)</f>
        <v>0</v>
      </c>
      <c r="X11" s="0" t="n">
        <f aca="false">1*(X10=PPA_duration)</f>
        <v>0</v>
      </c>
      <c r="Y11" s="0" t="n">
        <f aca="false">1*(Y10=PPA_duration)</f>
        <v>0</v>
      </c>
      <c r="Z11" s="0" t="n">
        <f aca="false">1*(Z10=PPA_duration)</f>
        <v>0</v>
      </c>
      <c r="AA11" s="0" t="n">
        <f aca="false">1*(AA10=PPA_duration)</f>
        <v>0</v>
      </c>
      <c r="AB11" s="0" t="n">
        <f aca="false">1*(AB10=PPA_duration)</f>
        <v>0</v>
      </c>
      <c r="AC11" s="0" t="n">
        <f aca="false">1*(AC10=PPA_duration)</f>
        <v>1</v>
      </c>
      <c r="AD11" s="0" t="n">
        <f aca="false">1*(AD10=PPA_duration)</f>
        <v>0</v>
      </c>
      <c r="AE11" s="0" t="n">
        <f aca="false">1*(AE10=PPA_duration)</f>
        <v>0</v>
      </c>
      <c r="AF11" s="0" t="n">
        <f aca="false">1*(AF10=PPA_duration)</f>
        <v>0</v>
      </c>
      <c r="AG11" s="0" t="n">
        <f aca="false">1*(AG10=PPA_duration)</f>
        <v>0</v>
      </c>
      <c r="AH11" s="0" t="n">
        <f aca="false">1*(AH10=PPA_duration)</f>
        <v>0</v>
      </c>
      <c r="AI11" s="0" t="n">
        <f aca="false">1*(AI10=PPA_duration)</f>
        <v>0</v>
      </c>
      <c r="AJ11" s="0" t="n">
        <f aca="false">1*(AJ10=PPA_duration)</f>
        <v>0</v>
      </c>
      <c r="AK11" s="0" t="n">
        <f aca="false">1*(AK10=PPA_duration)</f>
        <v>0</v>
      </c>
      <c r="AL11" s="0" t="n">
        <f aca="false">1*(AL10=PPA_duration)</f>
        <v>0</v>
      </c>
    </row>
    <row r="13" s="30" customFormat="true" ht="16.9" hidden="false" customHeight="true" outlineLevel="0" collapsed="false">
      <c r="A13" s="30" t="n">
        <f aca="false">COUNT($A$6:A12)+1</f>
        <v>1</v>
      </c>
      <c r="C13" s="30" t="s">
        <v>415</v>
      </c>
      <c r="E13" s="31"/>
      <c r="H13" s="112"/>
    </row>
    <row r="14" customFormat="false" ht="15" hidden="false" customHeight="false" outlineLevel="0" collapsed="false">
      <c r="E14" s="0"/>
      <c r="H14" s="0"/>
    </row>
    <row r="15" customFormat="false" ht="15" hidden="false" customHeight="false" outlineLevel="0" collapsed="false">
      <c r="B15" s="2" t="n">
        <f aca="false">(MAX($A$7:B14)+0.1)</f>
        <v>1.1</v>
      </c>
      <c r="C15" s="2" t="s">
        <v>416</v>
      </c>
      <c r="E15" s="0"/>
      <c r="H15" s="0"/>
    </row>
    <row r="16" customFormat="false" ht="15" hidden="false" customHeight="false" outlineLevel="0" collapsed="false">
      <c r="C16" s="0" t="s">
        <v>417</v>
      </c>
      <c r="E16" s="104" t="s">
        <v>72</v>
      </c>
      <c r="H16" s="0"/>
      <c r="I16" s="133" t="e">
        <f aca="false">((I10+I6)&gt;0)*(SUM(Funding!$I$45:I45,Funding!$I$49:I49)-SUM(Funding!$I$37:I39,Funding!$I$49:I49))</f>
        <v>#NAME?</v>
      </c>
      <c r="J16" s="133" t="e">
        <f aca="false">((J10+J6)&gt;0)*(SUM(Funding!$I$45:J45,Funding!$I$49:J49)-SUM(Funding!$I$37:J39,Funding!$I$49:J49))</f>
        <v>#NAME?</v>
      </c>
      <c r="K16" s="133" t="e">
        <f aca="false">((K10+K6)&gt;0)*(SUM(Funding!$I$45:K45,Funding!$I$49:K49)-SUM(Funding!$I$37:K39,Funding!$I$49:K49))</f>
        <v>#NAME?</v>
      </c>
      <c r="L16" s="133" t="e">
        <f aca="false">((L10+L6)&gt;0)*(SUM(Funding!$I$45:L45,Funding!$I$49:L49)-SUM(Funding!$I$37:L39,Funding!$I$49:L49))</f>
        <v>#NAME?</v>
      </c>
      <c r="M16" s="133" t="e">
        <f aca="false">((M10+M6)&gt;0)*(SUM(Funding!$I$45:M45,Funding!$I$49:M49)-SUM(Funding!$I$37:M39,Funding!$I$49:M49))</f>
        <v>#NAME?</v>
      </c>
      <c r="N16" s="133" t="e">
        <f aca="false">((N10+N6)&gt;0)*(SUM(Funding!$I$45:N45,Funding!$I$49:N49)-SUM(Funding!$I$37:N39,Funding!$I$49:N49))</f>
        <v>#NAME?</v>
      </c>
      <c r="O16" s="133" t="e">
        <f aca="false">((O10+O6)&gt;0)*(SUM(Funding!$I$45:O45,Funding!$I$49:O49)-SUM(Funding!$I$37:O39,Funding!$I$49:O49))</f>
        <v>#NAME?</v>
      </c>
      <c r="P16" s="133" t="e">
        <f aca="false">((P10+P6)&gt;0)*(SUM(Funding!$I$45:P45,Funding!$I$49:P49)-SUM(Funding!$I$37:P39,Funding!$I$49:P49))</f>
        <v>#NAME?</v>
      </c>
      <c r="Q16" s="133" t="e">
        <f aca="false">((Q10+Q6)&gt;0)*(SUM(Funding!$I$45:Q45,Funding!$I$49:Q49)-SUM(Funding!$I$37:Q39,Funding!$I$49:Q49))</f>
        <v>#NAME?</v>
      </c>
      <c r="R16" s="133" t="e">
        <f aca="false">((R10+R6)&gt;0)*(SUM(Funding!$I$45:R45,Funding!$I$49:R49)-SUM(Funding!$I$37:R39,Funding!$I$49:R49))</f>
        <v>#NAME?</v>
      </c>
      <c r="S16" s="133" t="e">
        <f aca="false">((S10+S6)&gt;0)*(SUM(Funding!$I$45:S45,Funding!$I$49:S49)-SUM(Funding!$I$37:S39,Funding!$I$49:S49))</f>
        <v>#NAME?</v>
      </c>
      <c r="T16" s="133" t="e">
        <f aca="false">((T10+T6)&gt;0)*(SUM(Funding!$I$45:T45,Funding!$I$49:T49)-SUM(Funding!$I$37:T39,Funding!$I$49:T49))</f>
        <v>#NAME?</v>
      </c>
      <c r="U16" s="133" t="e">
        <f aca="false">((U10+U6)&gt;0)*(SUM(Funding!$I$45:U45,Funding!$I$49:U49)-SUM(Funding!$I$37:U39,Funding!$I$49:U49))</f>
        <v>#NAME?</v>
      </c>
      <c r="V16" s="133" t="e">
        <f aca="false">((V10+V6)&gt;0)*(SUM(Funding!$I$45:V45,Funding!$I$49:V49)-SUM(Funding!$I$37:V39,Funding!$I$49:V49))</f>
        <v>#NAME?</v>
      </c>
      <c r="W16" s="133" t="e">
        <f aca="false">((W10+W6)&gt;0)*(SUM(Funding!$I$45:W45,Funding!$I$49:W49)-SUM(Funding!$I$37:W39,Funding!$I$49:W49))</f>
        <v>#NAME?</v>
      </c>
      <c r="X16" s="133" t="e">
        <f aca="false">((X10+X6)&gt;0)*(SUM(Funding!$I$45:X45,Funding!$I$49:X49)-SUM(Funding!$I$37:X39,Funding!$I$49:X49))</f>
        <v>#NAME?</v>
      </c>
      <c r="Y16" s="133" t="e">
        <f aca="false">((Y10+Y6)&gt;0)*(SUM(Funding!$I$45:Y45,Funding!$I$49:Y49)-SUM(Funding!$I$37:Y39,Funding!$I$49:Y49))</f>
        <v>#NAME?</v>
      </c>
      <c r="Z16" s="133" t="e">
        <f aca="false">((Z10+Z6)&gt;0)*(SUM(Funding!$I$45:Z45,Funding!$I$49:Z49)-SUM(Funding!$I$37:Z39,Funding!$I$49:Z49))</f>
        <v>#NAME?</v>
      </c>
      <c r="AA16" s="133" t="e">
        <f aca="false">((AA10+AA6)&gt;0)*(SUM(Funding!$I$45:AA45,Funding!$I$49:AA49)-SUM(Funding!$I$37:AA39,Funding!$I$49:AA49))</f>
        <v>#NAME?</v>
      </c>
      <c r="AB16" s="133" t="e">
        <f aca="false">((AB10+AB6)&gt;0)*(SUM(Funding!$I$45:AB45,Funding!$I$49:AB49)-SUM(Funding!$I$37:AB39,Funding!$I$49:AB49))</f>
        <v>#NAME?</v>
      </c>
      <c r="AC16" s="133" t="e">
        <f aca="false">((AC10+AC6)&gt;0)*(SUM(Funding!$I$45:AC45,Funding!$I$49:AC49)-SUM(Funding!$I$37:AC39,Funding!$I$49:AC49))</f>
        <v>#NAME?</v>
      </c>
      <c r="AD16" s="133" t="e">
        <f aca="false">((AD10+AD6)&gt;0)*(SUM(Funding!$I$45:AD45,Funding!$I$49:AD49)-SUM(Funding!$I$37:AD39,Funding!$I$49:AD49))</f>
        <v>#NAME?</v>
      </c>
      <c r="AE16" s="133" t="e">
        <f aca="false">((AE10+AE6)&gt;0)*(SUM(Funding!$I$45:AE45,Funding!$I$49:AE49)-SUM(Funding!$I$37:AE39,Funding!$I$49:AE49))</f>
        <v>#NAME?</v>
      </c>
      <c r="AF16" s="133" t="e">
        <f aca="false">((AF10+AF6)&gt;0)*(SUM(Funding!$I$45:AF45,Funding!$I$49:AF49)-SUM(Funding!$I$37:AF39,Funding!$I$49:AF49))</f>
        <v>#NAME?</v>
      </c>
      <c r="AG16" s="133" t="e">
        <f aca="false">((AG10+AG6)&gt;0)*(SUM(Funding!$I$45:AG45,Funding!$I$49:AG49)-SUM(Funding!$I$37:AG39,Funding!$I$49:AG49))</f>
        <v>#NAME?</v>
      </c>
      <c r="AH16" s="133" t="e">
        <f aca="false">((AH10+AH6)&gt;0)*(SUM(Funding!$I$45:AH45,Funding!$I$49:AH49)-SUM(Funding!$I$37:AH39,Funding!$I$49:AH49))</f>
        <v>#NAME?</v>
      </c>
      <c r="AI16" s="133" t="e">
        <f aca="false">((AI10+AI6)&gt;0)*(SUM(Funding!$I$45:AI45,Funding!$I$49:AI49)-SUM(Funding!$I$37:AI39,Funding!$I$49:AI49))</f>
        <v>#NAME?</v>
      </c>
      <c r="AJ16" s="133" t="e">
        <f aca="false">((AJ10+AJ6)&gt;0)*(SUM(Funding!$I$45:AJ45,Funding!$I$49:AJ49)-SUM(Funding!$I$37:AJ39,Funding!$I$49:AJ49))</f>
        <v>#NAME?</v>
      </c>
      <c r="AK16" s="133" t="e">
        <f aca="false">((AK10+AK6)&gt;0)*(SUM(Funding!$I$45:AK45,Funding!$I$49:AK49)-SUM(Funding!$I$37:AK39,Funding!$I$49:AK49))</f>
        <v>#NAME?</v>
      </c>
      <c r="AL16" s="133" t="e">
        <f aca="false">((AL10+AL6)&gt;0)*(SUM(Funding!$I$45:AL45,Funding!$I$49:AL49)-SUM(Funding!$I$37:AL39,Funding!$I$49:AL49))</f>
        <v>#NAME?</v>
      </c>
    </row>
    <row r="17" customFormat="false" ht="15" hidden="false" customHeight="false" outlineLevel="0" collapsed="false">
      <c r="C17" s="0" t="s">
        <v>65</v>
      </c>
      <c r="E17" s="104" t="s">
        <v>72</v>
      </c>
      <c r="H17" s="0"/>
      <c r="I17" s="133" t="e">
        <f aca="false">Land_value*((I10+I6)&gt;0)</f>
        <v>#NAME?</v>
      </c>
      <c r="J17" s="133" t="e">
        <f aca="false">Land_value*((J10+J6)&gt;0)</f>
        <v>#NAME?</v>
      </c>
      <c r="K17" s="133" t="e">
        <f aca="false">Land_value*((K10+K6)&gt;0)</f>
        <v>#NAME?</v>
      </c>
      <c r="L17" s="133" t="e">
        <f aca="false">Land_value*((L10+L6)&gt;0)</f>
        <v>#NAME?</v>
      </c>
      <c r="M17" s="133" t="e">
        <f aca="false">Land_value*((M10+M6)&gt;0)</f>
        <v>#NAME?</v>
      </c>
      <c r="N17" s="133" t="e">
        <f aca="false">Land_value*((N10+N6)&gt;0)</f>
        <v>#NAME?</v>
      </c>
      <c r="O17" s="133" t="e">
        <f aca="false">Land_value*((O10+O6)&gt;0)</f>
        <v>#NAME?</v>
      </c>
      <c r="P17" s="133" t="e">
        <f aca="false">Land_value*((P10+P6)&gt;0)</f>
        <v>#NAME?</v>
      </c>
      <c r="Q17" s="133" t="e">
        <f aca="false">Land_value*((Q10+Q6)&gt;0)</f>
        <v>#NAME?</v>
      </c>
      <c r="R17" s="133" t="e">
        <f aca="false">Land_value*((R10+R6)&gt;0)</f>
        <v>#NAME?</v>
      </c>
      <c r="S17" s="133" t="e">
        <f aca="false">Land_value*((S10+S6)&gt;0)</f>
        <v>#NAME?</v>
      </c>
      <c r="T17" s="133" t="e">
        <f aca="false">Land_value*((T10+T6)&gt;0)</f>
        <v>#NAME?</v>
      </c>
      <c r="U17" s="133" t="e">
        <f aca="false">Land_value*((U10+U6)&gt;0)</f>
        <v>#NAME?</v>
      </c>
      <c r="V17" s="133" t="e">
        <f aca="false">Land_value*((V10+V6)&gt;0)</f>
        <v>#NAME?</v>
      </c>
      <c r="W17" s="133" t="e">
        <f aca="false">Land_value*((W10+W6)&gt;0)</f>
        <v>#NAME?</v>
      </c>
      <c r="X17" s="133" t="e">
        <f aca="false">Land_value*((X10+X6)&gt;0)</f>
        <v>#NAME?</v>
      </c>
      <c r="Y17" s="133" t="e">
        <f aca="false">Land_value*((Y10+Y6)&gt;0)</f>
        <v>#NAME?</v>
      </c>
      <c r="Z17" s="133" t="e">
        <f aca="false">Land_value*((Z10+Z6)&gt;0)</f>
        <v>#NAME?</v>
      </c>
      <c r="AA17" s="133" t="e">
        <f aca="false">Land_value*((AA10+AA6)&gt;0)</f>
        <v>#NAME?</v>
      </c>
      <c r="AB17" s="133" t="e">
        <f aca="false">Land_value*((AB10+AB6)&gt;0)</f>
        <v>#NAME?</v>
      </c>
      <c r="AC17" s="133" t="e">
        <f aca="false">Land_value*((AC10+AC6)&gt;0)</f>
        <v>#NAME?</v>
      </c>
      <c r="AD17" s="133" t="e">
        <f aca="false">Land_value*((AD10+AD6)&gt;0)</f>
        <v>#NAME?</v>
      </c>
      <c r="AE17" s="133" t="e">
        <f aca="false">Land_value*((AE10+AE6)&gt;0)</f>
        <v>#NAME?</v>
      </c>
      <c r="AF17" s="133" t="e">
        <f aca="false">Land_value*((AF10+AF6)&gt;0)</f>
        <v>#NAME?</v>
      </c>
      <c r="AG17" s="133" t="e">
        <f aca="false">Land_value*((AG10+AG6)&gt;0)</f>
        <v>#NAME?</v>
      </c>
      <c r="AH17" s="133" t="e">
        <f aca="false">Land_value*((AH10+AH6)&gt;0)</f>
        <v>#NAME?</v>
      </c>
      <c r="AI17" s="133" t="e">
        <f aca="false">Land_value*((AI10+AI6)&gt;0)</f>
        <v>#NAME?</v>
      </c>
      <c r="AJ17" s="133" t="e">
        <f aca="false">Land_value*((AJ10+AJ6)&gt;0)</f>
        <v>#NAME?</v>
      </c>
      <c r="AK17" s="133" t="e">
        <f aca="false">Land_value*((AK10+AK6)&gt;0)</f>
        <v>#NAME?</v>
      </c>
      <c r="AL17" s="133" t="e">
        <f aca="false">Land_value*((AL10+AL6)&gt;0)</f>
        <v>#NAME?</v>
      </c>
    </row>
    <row r="18" customFormat="false" ht="15" hidden="false" customHeight="false" outlineLevel="0" collapsed="false">
      <c r="C18" s="0" t="s">
        <v>418</v>
      </c>
      <c r="E18" s="104" t="s">
        <v>72</v>
      </c>
      <c r="H18" s="0"/>
      <c r="I18" s="133" t="e">
        <f aca="false">I7*Funding!$G$136*((I10+I6)&gt;0)</f>
        <v>#VALUE!</v>
      </c>
      <c r="J18" s="133" t="e">
        <f aca="false">J7*Funding!$G$136*((J10+J6)&gt;0)</f>
        <v>#VALUE!</v>
      </c>
      <c r="K18" s="133" t="e">
        <f aca="false">K7*Funding!$G$136*((K10+K6)&gt;0)</f>
        <v>#VALUE!</v>
      </c>
      <c r="L18" s="133" t="e">
        <f aca="false">L7*Funding!$G$136*((L10+L6)&gt;0)</f>
        <v>#VALUE!</v>
      </c>
      <c r="M18" s="133" t="e">
        <f aca="false">M7*Funding!$G$136*((M10+M6)&gt;0)</f>
        <v>#VALUE!</v>
      </c>
      <c r="N18" s="133" t="e">
        <f aca="false">N7*Funding!$G$136*((N10+N6)&gt;0)</f>
        <v>#VALUE!</v>
      </c>
      <c r="O18" s="133" t="e">
        <f aca="false">O7*Funding!$G$136*((O10+O6)&gt;0)</f>
        <v>#VALUE!</v>
      </c>
      <c r="P18" s="133" t="e">
        <f aca="false">P7*Funding!$G$136*((P10+P6)&gt;0)</f>
        <v>#VALUE!</v>
      </c>
      <c r="Q18" s="133" t="e">
        <f aca="false">Q7*Funding!$G$136*((Q10+Q6)&gt;0)</f>
        <v>#VALUE!</v>
      </c>
      <c r="R18" s="133" t="e">
        <f aca="false">R7*Funding!$G$136*((R10+R6)&gt;0)</f>
        <v>#VALUE!</v>
      </c>
      <c r="S18" s="133" t="e">
        <f aca="false">S7*Funding!$G$136*((S10+S6)&gt;0)</f>
        <v>#VALUE!</v>
      </c>
      <c r="T18" s="133" t="e">
        <f aca="false">T7*Funding!$G$136*((T10+T6)&gt;0)</f>
        <v>#VALUE!</v>
      </c>
      <c r="U18" s="133" t="e">
        <f aca="false">U7*Funding!$G$136*((U10+U6)&gt;0)</f>
        <v>#VALUE!</v>
      </c>
      <c r="V18" s="133" t="e">
        <f aca="false">V7*Funding!$G$136*((V10+V6)&gt;0)</f>
        <v>#VALUE!</v>
      </c>
      <c r="W18" s="133" t="e">
        <f aca="false">W7*Funding!$G$136*((W10+W6)&gt;0)</f>
        <v>#VALUE!</v>
      </c>
      <c r="X18" s="133" t="e">
        <f aca="false">X7*Funding!$G$136*((X10+X6)&gt;0)</f>
        <v>#VALUE!</v>
      </c>
      <c r="Y18" s="133" t="e">
        <f aca="false">Y7*Funding!$G$136*((Y10+Y6)&gt;0)</f>
        <v>#VALUE!</v>
      </c>
      <c r="Z18" s="133" t="e">
        <f aca="false">Z7*Funding!$G$136*((Z10+Z6)&gt;0)</f>
        <v>#VALUE!</v>
      </c>
      <c r="AA18" s="133" t="e">
        <f aca="false">AA7*Funding!$G$136*((AA10+AA6)&gt;0)</f>
        <v>#VALUE!</v>
      </c>
      <c r="AB18" s="133" t="e">
        <f aca="false">AB7*Funding!$G$136*((AB10+AB6)&gt;0)</f>
        <v>#VALUE!</v>
      </c>
      <c r="AC18" s="133" t="e">
        <f aca="false">AC7*Funding!$G$136*((AC10+AC6)&gt;0)</f>
        <v>#VALUE!</v>
      </c>
      <c r="AD18" s="133" t="e">
        <f aca="false">AD7*Funding!$G$136*((AD10+AD6)&gt;0)</f>
        <v>#VALUE!</v>
      </c>
      <c r="AE18" s="133" t="e">
        <f aca="false">AE7*Funding!$G$136*((AE10+AE6)&gt;0)</f>
        <v>#VALUE!</v>
      </c>
      <c r="AF18" s="133" t="e">
        <f aca="false">AF7*Funding!$G$136*((AF10+AF6)&gt;0)</f>
        <v>#VALUE!</v>
      </c>
      <c r="AG18" s="133" t="e">
        <f aca="false">AG7*Funding!$G$136*((AG10+AG6)&gt;0)</f>
        <v>#VALUE!</v>
      </c>
      <c r="AH18" s="133" t="e">
        <f aca="false">AH7*Funding!$G$136*((AH10+AH6)&gt;0)</f>
        <v>#VALUE!</v>
      </c>
      <c r="AI18" s="133" t="e">
        <f aca="false">AI7*Funding!$G$136*((AI10+AI6)&gt;0)</f>
        <v>#VALUE!</v>
      </c>
      <c r="AJ18" s="133" t="e">
        <f aca="false">AJ7*Funding!$G$136*((AJ10+AJ6)&gt;0)</f>
        <v>#VALUE!</v>
      </c>
      <c r="AK18" s="133" t="e">
        <f aca="false">AK7*Funding!$G$136*((AK10+AK6)&gt;0)</f>
        <v>#VALUE!</v>
      </c>
      <c r="AL18" s="133" t="e">
        <f aca="false">AL7*Funding!$G$136*((AL10+AL6)&gt;0)</f>
        <v>#VALUE!</v>
      </c>
    </row>
    <row r="19" customFormat="false" ht="15" hidden="false" customHeight="false" outlineLevel="0" collapsed="false">
      <c r="C19" s="0" t="s">
        <v>419</v>
      </c>
      <c r="E19" s="104" t="s">
        <v>72</v>
      </c>
      <c r="H19" s="0"/>
      <c r="I19" s="114" t="n">
        <f aca="false">I7*SUM('Cash Flow'!$I$30:I30)</f>
        <v>0</v>
      </c>
      <c r="J19" s="122" t="n">
        <f aca="false">J7*SUM('Cash Flow'!$I$30:J30)</f>
        <v>-1294155.04507814</v>
      </c>
      <c r="K19" s="122" t="n">
        <f aca="false">K7*SUM('Cash Flow'!$I$30:K30)</f>
        <v>-2588310.09015628</v>
      </c>
      <c r="L19" s="122" t="n">
        <f aca="false">L7*SUM('Cash Flow'!$I$30:L30)</f>
        <v>-3882465.13523442</v>
      </c>
      <c r="M19" s="122" t="n">
        <f aca="false">M7*SUM('Cash Flow'!$I$30:M30)</f>
        <v>-5176620.18031256</v>
      </c>
      <c r="N19" s="122" t="n">
        <f aca="false">N7*SUM('Cash Flow'!$I$30:N30)</f>
        <v>-6470775.2253907</v>
      </c>
      <c r="O19" s="122" t="n">
        <f aca="false">O7*SUM('Cash Flow'!$I$30:O30)</f>
        <v>-7764930.27046884</v>
      </c>
      <c r="P19" s="122" t="n">
        <f aca="false">P7*SUM('Cash Flow'!$I$30:P30)</f>
        <v>-9059085.31554698</v>
      </c>
      <c r="Q19" s="122" t="n">
        <f aca="false">Q7*SUM('Cash Flow'!$I$30:Q30)</f>
        <v>-10353240.3606251</v>
      </c>
      <c r="R19" s="122" t="n">
        <f aca="false">R7*SUM('Cash Flow'!$I$30:R30)</f>
        <v>-11647395.4057033</v>
      </c>
      <c r="S19" s="122" t="n">
        <f aca="false">S7*SUM('Cash Flow'!$I$30:S30)</f>
        <v>-12941550.4507814</v>
      </c>
      <c r="T19" s="122" t="n">
        <f aca="false">T7*SUM('Cash Flow'!$I$30:T30)</f>
        <v>-14235705.4958595</v>
      </c>
      <c r="U19" s="122" t="n">
        <f aca="false">U7*SUM('Cash Flow'!$I$30:U30)</f>
        <v>-15529860.5409377</v>
      </c>
      <c r="V19" s="122" t="n">
        <f aca="false">V7*SUM('Cash Flow'!$I$30:V30)</f>
        <v>-16824015.5860158</v>
      </c>
      <c r="W19" s="122" t="n">
        <f aca="false">W7*SUM('Cash Flow'!$I$30:W30)</f>
        <v>-18118170.631094</v>
      </c>
      <c r="X19" s="122" t="n">
        <f aca="false">X7*SUM('Cash Flow'!$I$30:X30)</f>
        <v>-19412325.6761721</v>
      </c>
      <c r="Y19" s="122" t="n">
        <f aca="false">Y7*SUM('Cash Flow'!$I$30:Y30)</f>
        <v>-20706480.7212502</v>
      </c>
      <c r="Z19" s="122" t="n">
        <f aca="false">Z7*SUM('Cash Flow'!$I$30:Z30)</f>
        <v>-22000635.7663284</v>
      </c>
      <c r="AA19" s="122" t="n">
        <f aca="false">AA7*SUM('Cash Flow'!$I$30:AA30)</f>
        <v>-23294790.8114065</v>
      </c>
      <c r="AB19" s="122" t="n">
        <f aca="false">AB7*SUM('Cash Flow'!$I$30:AB30)</f>
        <v>-24588945.8564847</v>
      </c>
      <c r="AC19" s="122" t="n">
        <f aca="false">AC7*SUM('Cash Flow'!$I$30:AC30)</f>
        <v>-25883100.9015628</v>
      </c>
      <c r="AD19" s="122" t="n">
        <f aca="false">AD7*SUM('Cash Flow'!$I$30:AD30)</f>
        <v>0</v>
      </c>
      <c r="AE19" s="122" t="n">
        <f aca="false">AE7*SUM('Cash Flow'!$I$30:AE30)</f>
        <v>0</v>
      </c>
      <c r="AF19" s="122" t="n">
        <f aca="false">AF7*SUM('Cash Flow'!$I$30:AF30)</f>
        <v>0</v>
      </c>
      <c r="AG19" s="122" t="n">
        <f aca="false">AG7*SUM('Cash Flow'!$I$30:AG30)</f>
        <v>0</v>
      </c>
      <c r="AH19" s="122" t="n">
        <f aca="false">AH7*SUM('Cash Flow'!$I$30:AH30)</f>
        <v>0</v>
      </c>
      <c r="AI19" s="122" t="n">
        <f aca="false">AI7*SUM('Cash Flow'!$I$30:AI30)</f>
        <v>0</v>
      </c>
      <c r="AJ19" s="122" t="n">
        <f aca="false">AJ7*SUM('Cash Flow'!$I$30:AJ30)</f>
        <v>0</v>
      </c>
      <c r="AK19" s="122" t="n">
        <f aca="false">AK7*SUM('Cash Flow'!$I$30:AK30)</f>
        <v>0</v>
      </c>
      <c r="AL19" s="122" t="n">
        <f aca="false">AL7*SUM('Cash Flow'!$I$30:AL30)</f>
        <v>0</v>
      </c>
    </row>
    <row r="20" customFormat="false" ht="15" hidden="false" customHeight="false" outlineLevel="0" collapsed="false">
      <c r="C20" s="0" t="s">
        <v>143</v>
      </c>
      <c r="E20" s="104" t="s">
        <v>72</v>
      </c>
      <c r="H20" s="0"/>
      <c r="I20" s="114" t="e">
        <f aca="false">Funding!I229</f>
        <v>#VALUE!</v>
      </c>
      <c r="J20" s="114" t="e">
        <f aca="false">Funding!J229</f>
        <v>#VALUE!</v>
      </c>
      <c r="K20" s="114" t="e">
        <f aca="false">Funding!K229</f>
        <v>#VALUE!</v>
      </c>
      <c r="L20" s="114" t="e">
        <f aca="false">Funding!L229</f>
        <v>#VALUE!</v>
      </c>
      <c r="M20" s="114" t="e">
        <f aca="false">Funding!M229</f>
        <v>#VALUE!</v>
      </c>
      <c r="N20" s="114" t="e">
        <f aca="false">Funding!N229</f>
        <v>#VALUE!</v>
      </c>
      <c r="O20" s="114" t="e">
        <f aca="false">Funding!O229</f>
        <v>#VALUE!</v>
      </c>
      <c r="P20" s="114" t="e">
        <f aca="false">Funding!P229</f>
        <v>#VALUE!</v>
      </c>
      <c r="Q20" s="114" t="e">
        <f aca="false">Funding!Q229</f>
        <v>#VALUE!</v>
      </c>
      <c r="R20" s="114" t="e">
        <f aca="false">Funding!R229</f>
        <v>#VALUE!</v>
      </c>
      <c r="S20" s="114" t="e">
        <f aca="false">Funding!S229</f>
        <v>#VALUE!</v>
      </c>
      <c r="T20" s="114" t="e">
        <f aca="false">Funding!T229</f>
        <v>#VALUE!</v>
      </c>
      <c r="U20" s="114" t="e">
        <f aca="false">Funding!U229</f>
        <v>#VALUE!</v>
      </c>
      <c r="V20" s="114" t="e">
        <f aca="false">Funding!V229</f>
        <v>#VALUE!</v>
      </c>
      <c r="W20" s="114" t="e">
        <f aca="false">Funding!W229</f>
        <v>#VALUE!</v>
      </c>
      <c r="X20" s="114" t="e">
        <f aca="false">Funding!X229</f>
        <v>#VALUE!</v>
      </c>
      <c r="Y20" s="114" t="e">
        <f aca="false">Funding!Y229</f>
        <v>#VALUE!</v>
      </c>
      <c r="Z20" s="114" t="e">
        <f aca="false">Funding!Z229</f>
        <v>#VALUE!</v>
      </c>
      <c r="AA20" s="114" t="e">
        <f aca="false">Funding!AA229</f>
        <v>#VALUE!</v>
      </c>
      <c r="AB20" s="114" t="e">
        <f aca="false">Funding!AB229</f>
        <v>#VALUE!</v>
      </c>
      <c r="AC20" s="114" t="e">
        <f aca="false">Funding!AC229</f>
        <v>#VALUE!</v>
      </c>
      <c r="AD20" s="114" t="e">
        <f aca="false">Funding!AD229</f>
        <v>#VALUE!</v>
      </c>
      <c r="AE20" s="114" t="e">
        <f aca="false">Funding!AE229</f>
        <v>#VALUE!</v>
      </c>
      <c r="AF20" s="114" t="e">
        <f aca="false">Funding!AF229</f>
        <v>#VALUE!</v>
      </c>
      <c r="AG20" s="114" t="e">
        <f aca="false">Funding!AG229</f>
        <v>#VALUE!</v>
      </c>
      <c r="AH20" s="114" t="e">
        <f aca="false">Funding!AH229</f>
        <v>#VALUE!</v>
      </c>
      <c r="AI20" s="114" t="e">
        <f aca="false">Funding!AI229</f>
        <v>#VALUE!</v>
      </c>
      <c r="AJ20" s="114" t="e">
        <f aca="false">Funding!AJ229</f>
        <v>#VALUE!</v>
      </c>
      <c r="AK20" s="114" t="e">
        <f aca="false">Funding!AK229</f>
        <v>#VALUE!</v>
      </c>
      <c r="AL20" s="114" t="e">
        <f aca="false">Funding!AL229</f>
        <v>#VALUE!</v>
      </c>
    </row>
    <row r="21" customFormat="false" ht="15" hidden="false" customHeight="false" outlineLevel="0" collapsed="false">
      <c r="C21" s="0" t="s">
        <v>229</v>
      </c>
      <c r="E21" s="104" t="s">
        <v>72</v>
      </c>
      <c r="H21" s="0"/>
      <c r="I21" s="114" t="n">
        <f aca="false">Funding!I236</f>
        <v>344238.443157287</v>
      </c>
      <c r="J21" s="114" t="n">
        <f aca="false">Funding!J236</f>
        <v>344238.443157287</v>
      </c>
      <c r="K21" s="114" t="n">
        <f aca="false">Funding!K236</f>
        <v>342517.2509415</v>
      </c>
      <c r="L21" s="114" t="n">
        <f aca="false">Funding!L236</f>
        <v>340804.664686793</v>
      </c>
      <c r="M21" s="114" t="n">
        <f aca="false">Funding!M236</f>
        <v>339100.641363359</v>
      </c>
      <c r="N21" s="114" t="n">
        <f aca="false">Funding!N236</f>
        <v>337405.138156542</v>
      </c>
      <c r="O21" s="114" t="n">
        <f aca="false">Funding!O236</f>
        <v>335718.112465759</v>
      </c>
      <c r="P21" s="114" t="n">
        <f aca="false">Funding!P236</f>
        <v>334039.52190343</v>
      </c>
      <c r="Q21" s="114" t="n">
        <f aca="false">Funding!Q236</f>
        <v>332369.324293913</v>
      </c>
      <c r="R21" s="114" t="n">
        <f aca="false">Funding!R236</f>
        <v>330707.477672444</v>
      </c>
      <c r="S21" s="114" t="n">
        <f aca="false">Funding!S236</f>
        <v>329053.940284081</v>
      </c>
      <c r="T21" s="114" t="n">
        <f aca="false">Funding!T236</f>
        <v>327408.670582661</v>
      </c>
      <c r="U21" s="114" t="n">
        <f aca="false">Funding!U236</f>
        <v>325771.627229748</v>
      </c>
      <c r="V21" s="114" t="n">
        <f aca="false">Funding!V236</f>
        <v>324142.769093599</v>
      </c>
      <c r="W21" s="114" t="n">
        <f aca="false">Funding!W236</f>
        <v>322522.055248131</v>
      </c>
      <c r="X21" s="114" t="n">
        <f aca="false">Funding!X236</f>
        <v>320909.44497189</v>
      </c>
      <c r="Y21" s="114" t="n">
        <f aca="false">Funding!Y236</f>
        <v>319304.897747031</v>
      </c>
      <c r="Z21" s="114" t="n">
        <f aca="false">Funding!Z236</f>
        <v>317708.373258296</v>
      </c>
      <c r="AA21" s="114" t="n">
        <f aca="false">Funding!AA236</f>
        <v>316119.831392004</v>
      </c>
      <c r="AB21" s="114" t="n">
        <f aca="false">Funding!AB236</f>
        <v>314539.232235044</v>
      </c>
      <c r="AC21" s="114" t="n">
        <f aca="false">Funding!AC236</f>
        <v>0</v>
      </c>
      <c r="AD21" s="114" t="n">
        <f aca="false">Funding!AD236</f>
        <v>0</v>
      </c>
      <c r="AE21" s="114" t="n">
        <f aca="false">Funding!AE236</f>
        <v>0</v>
      </c>
      <c r="AF21" s="114" t="n">
        <f aca="false">Funding!AF236</f>
        <v>0</v>
      </c>
      <c r="AG21" s="114" t="n">
        <f aca="false">Funding!AG236</f>
        <v>0</v>
      </c>
      <c r="AH21" s="114" t="n">
        <f aca="false">Funding!AH236</f>
        <v>0</v>
      </c>
      <c r="AI21" s="114" t="n">
        <f aca="false">Funding!AI236</f>
        <v>0</v>
      </c>
      <c r="AJ21" s="114" t="n">
        <f aca="false">Funding!AJ236</f>
        <v>0</v>
      </c>
      <c r="AK21" s="114" t="n">
        <f aca="false">Funding!AK236</f>
        <v>0</v>
      </c>
      <c r="AL21" s="114" t="n">
        <f aca="false">Funding!AL236</f>
        <v>0</v>
      </c>
    </row>
    <row r="22" customFormat="false" ht="15" hidden="false" customHeight="false" outlineLevel="0" collapsed="false">
      <c r="C22" s="132" t="s">
        <v>420</v>
      </c>
      <c r="D22" s="117"/>
      <c r="E22" s="118" t="s">
        <v>72</v>
      </c>
      <c r="F22" s="117"/>
      <c r="G22" s="117"/>
      <c r="H22" s="119"/>
      <c r="I22" s="123" t="e">
        <f aca="false">SUM(I16:I21)</f>
        <v>#NAME?</v>
      </c>
      <c r="J22" s="123" t="e">
        <f aca="false">SUM(J16:J21)</f>
        <v>#NAME?</v>
      </c>
      <c r="K22" s="123" t="e">
        <f aca="false">SUM(K16:K21)</f>
        <v>#NAME?</v>
      </c>
      <c r="L22" s="123" t="e">
        <f aca="false">SUM(L16:L21)</f>
        <v>#NAME?</v>
      </c>
      <c r="M22" s="123" t="e">
        <f aca="false">SUM(M16:M21)</f>
        <v>#NAME?</v>
      </c>
      <c r="N22" s="123" t="e">
        <f aca="false">SUM(N16:N21)</f>
        <v>#NAME?</v>
      </c>
      <c r="O22" s="123" t="e">
        <f aca="false">SUM(O16:O21)</f>
        <v>#NAME?</v>
      </c>
      <c r="P22" s="123" t="e">
        <f aca="false">SUM(P16:P21)</f>
        <v>#NAME?</v>
      </c>
      <c r="Q22" s="123" t="e">
        <f aca="false">SUM(Q16:Q21)</f>
        <v>#NAME?</v>
      </c>
      <c r="R22" s="123" t="e">
        <f aca="false">SUM(R16:R21)</f>
        <v>#NAME?</v>
      </c>
      <c r="S22" s="123" t="e">
        <f aca="false">SUM(S16:S21)</f>
        <v>#NAME?</v>
      </c>
      <c r="T22" s="123" t="e">
        <f aca="false">SUM(T16:T21)</f>
        <v>#NAME?</v>
      </c>
      <c r="U22" s="123" t="e">
        <f aca="false">SUM(U16:U21)</f>
        <v>#NAME?</v>
      </c>
      <c r="V22" s="123" t="e">
        <f aca="false">SUM(V16:V21)</f>
        <v>#NAME?</v>
      </c>
      <c r="W22" s="123" t="e">
        <f aca="false">SUM(W16:W21)</f>
        <v>#NAME?</v>
      </c>
      <c r="X22" s="123" t="e">
        <f aca="false">SUM(X16:X21)</f>
        <v>#NAME?</v>
      </c>
      <c r="Y22" s="123" t="e">
        <f aca="false">SUM(Y16:Y21)</f>
        <v>#NAME?</v>
      </c>
      <c r="Z22" s="123" t="e">
        <f aca="false">SUM(Z16:Z21)</f>
        <v>#NAME?</v>
      </c>
      <c r="AA22" s="123" t="e">
        <f aca="false">SUM(AA16:AA21)</f>
        <v>#NAME?</v>
      </c>
      <c r="AB22" s="123" t="e">
        <f aca="false">SUM(AB16:AB21)</f>
        <v>#NAME?</v>
      </c>
      <c r="AC22" s="123" t="e">
        <f aca="false">SUM(AC16:AC21)</f>
        <v>#NAME?</v>
      </c>
      <c r="AD22" s="123" t="e">
        <f aca="false">SUM(AD16:AD21)</f>
        <v>#NAME?</v>
      </c>
      <c r="AE22" s="123" t="e">
        <f aca="false">SUM(AE16:AE21)</f>
        <v>#NAME?</v>
      </c>
      <c r="AF22" s="123" t="e">
        <f aca="false">SUM(AF16:AF21)</f>
        <v>#NAME?</v>
      </c>
      <c r="AG22" s="123" t="e">
        <f aca="false">SUM(AG16:AG21)</f>
        <v>#NAME?</v>
      </c>
      <c r="AH22" s="123" t="e">
        <f aca="false">SUM(AH16:AH21)</f>
        <v>#NAME?</v>
      </c>
      <c r="AI22" s="123" t="e">
        <f aca="false">SUM(AI16:AI21)</f>
        <v>#NAME?</v>
      </c>
      <c r="AJ22" s="123" t="e">
        <f aca="false">SUM(AJ16:AJ21)</f>
        <v>#NAME?</v>
      </c>
      <c r="AK22" s="123" t="e">
        <f aca="false">SUM(AK16:AK21)</f>
        <v>#NAME?</v>
      </c>
      <c r="AL22" s="123" t="e">
        <f aca="false">SUM(AL16:AL21)</f>
        <v>#NAME?</v>
      </c>
    </row>
    <row r="24" customFormat="false" ht="15" hidden="false" customHeight="false" outlineLevel="0" collapsed="false">
      <c r="C24" s="0" t="s">
        <v>421</v>
      </c>
      <c r="E24" s="104" t="s">
        <v>72</v>
      </c>
      <c r="H24" s="0"/>
      <c r="I24" s="114" t="e">
        <f aca="false">'Cash Flow'!I105</f>
        <v>#VALUE!</v>
      </c>
      <c r="J24" s="114" t="e">
        <f aca="false">'Cash Flow'!J105</f>
        <v>#VALUE!</v>
      </c>
      <c r="K24" s="114" t="e">
        <f aca="false">'Cash Flow'!K105</f>
        <v>#VALUE!</v>
      </c>
      <c r="L24" s="114" t="e">
        <f aca="false">'Cash Flow'!L105</f>
        <v>#VALUE!</v>
      </c>
      <c r="M24" s="114" t="e">
        <f aca="false">'Cash Flow'!M105</f>
        <v>#VALUE!</v>
      </c>
      <c r="N24" s="114" t="e">
        <f aca="false">'Cash Flow'!N105</f>
        <v>#VALUE!</v>
      </c>
      <c r="O24" s="114" t="e">
        <f aca="false">'Cash Flow'!O105</f>
        <v>#VALUE!</v>
      </c>
      <c r="P24" s="114" t="e">
        <f aca="false">'Cash Flow'!P105</f>
        <v>#VALUE!</v>
      </c>
      <c r="Q24" s="114" t="e">
        <f aca="false">'Cash Flow'!Q105</f>
        <v>#VALUE!</v>
      </c>
      <c r="R24" s="114" t="e">
        <f aca="false">'Cash Flow'!R105</f>
        <v>#VALUE!</v>
      </c>
      <c r="S24" s="114" t="e">
        <f aca="false">'Cash Flow'!S105</f>
        <v>#VALUE!</v>
      </c>
      <c r="T24" s="114" t="e">
        <f aca="false">'Cash Flow'!T105</f>
        <v>#VALUE!</v>
      </c>
      <c r="U24" s="114" t="e">
        <f aca="false">'Cash Flow'!U105</f>
        <v>#VALUE!</v>
      </c>
      <c r="V24" s="114" t="e">
        <f aca="false">'Cash Flow'!V105</f>
        <v>#VALUE!</v>
      </c>
      <c r="W24" s="114" t="e">
        <f aca="false">'Cash Flow'!W105</f>
        <v>#VALUE!</v>
      </c>
      <c r="X24" s="114" t="e">
        <f aca="false">'Cash Flow'!X105</f>
        <v>#VALUE!</v>
      </c>
      <c r="Y24" s="114" t="e">
        <f aca="false">'Cash Flow'!Y105</f>
        <v>#VALUE!</v>
      </c>
      <c r="Z24" s="114" t="e">
        <f aca="false">'Cash Flow'!Z105</f>
        <v>#VALUE!</v>
      </c>
      <c r="AA24" s="114" t="e">
        <f aca="false">'Cash Flow'!AA105</f>
        <v>#VALUE!</v>
      </c>
      <c r="AB24" s="114" t="e">
        <f aca="false">'Cash Flow'!AB105</f>
        <v>#VALUE!</v>
      </c>
      <c r="AC24" s="114" t="e">
        <f aca="false">'Cash Flow'!AC105</f>
        <v>#VALUE!</v>
      </c>
      <c r="AD24" s="114" t="e">
        <f aca="false">'Cash Flow'!AD105</f>
        <v>#VALUE!</v>
      </c>
      <c r="AE24" s="114" t="e">
        <f aca="false">'Cash Flow'!AE105</f>
        <v>#VALUE!</v>
      </c>
      <c r="AF24" s="114" t="e">
        <f aca="false">'Cash Flow'!AF105</f>
        <v>#VALUE!</v>
      </c>
      <c r="AG24" s="114" t="e">
        <f aca="false">'Cash Flow'!AG105</f>
        <v>#VALUE!</v>
      </c>
      <c r="AH24" s="114" t="e">
        <f aca="false">'Cash Flow'!AH105</f>
        <v>#VALUE!</v>
      </c>
      <c r="AI24" s="114" t="e">
        <f aca="false">'Cash Flow'!AI105</f>
        <v>#VALUE!</v>
      </c>
      <c r="AJ24" s="114" t="e">
        <f aca="false">'Cash Flow'!AJ105</f>
        <v>#VALUE!</v>
      </c>
      <c r="AK24" s="114" t="e">
        <f aca="false">'Cash Flow'!AK105</f>
        <v>#VALUE!</v>
      </c>
      <c r="AL24" s="114" t="e">
        <f aca="false">'Cash Flow'!AL105</f>
        <v>#VALUE!</v>
      </c>
    </row>
    <row r="25" customFormat="false" ht="15" hidden="false" customHeight="false" outlineLevel="0" collapsed="false">
      <c r="C25" s="6" t="s">
        <v>422</v>
      </c>
      <c r="E25" s="104" t="s">
        <v>72</v>
      </c>
      <c r="H25" s="0"/>
      <c r="I25" s="133" t="n">
        <f aca="false">Funding!I218*(I11=0)</f>
        <v>509284.272068314</v>
      </c>
      <c r="J25" s="133" t="n">
        <f aca="false">Funding!J218*(J11=0)</f>
        <v>527062.354260095</v>
      </c>
      <c r="K25" s="133" t="n">
        <f aca="false">Funding!K218*(K11=0)</f>
        <v>525049.275365507</v>
      </c>
      <c r="L25" s="133" t="n">
        <f aca="false">Funding!L218*(L11=0)</f>
        <v>523064.928851693</v>
      </c>
      <c r="M25" s="133" t="n">
        <f aca="false">Funding!M218*(M11=0)</f>
        <v>519685.933986922</v>
      </c>
      <c r="N25" s="133" t="n">
        <f aca="false">Funding!N218*(N11=0)</f>
        <v>519184.113075679</v>
      </c>
      <c r="O25" s="133" t="n">
        <f aca="false">Funding!O218*(O11=0)</f>
        <v>517288.521094912</v>
      </c>
      <c r="P25" s="133" t="n">
        <f aca="false">Funding!P218*(P11=0)</f>
        <v>515423.416931587</v>
      </c>
      <c r="Q25" s="133" t="n">
        <f aca="false">Funding!Q218*(Q11=0)</f>
        <v>512186.029047692</v>
      </c>
      <c r="R25" s="133" t="n">
        <f aca="false">Funding!R218*(R11=0)</f>
        <v>511786.600003408</v>
      </c>
      <c r="S25" s="133" t="n">
        <f aca="false">Funding!S218*(S11=0)</f>
        <v>510015.892995266</v>
      </c>
      <c r="T25" s="133" t="n">
        <f aca="false">Funding!T218*(T11=0)</f>
        <v>508277.686301921</v>
      </c>
      <c r="U25" s="133" t="n">
        <f aca="false">Funding!U218*(U11=0)</f>
        <v>505188.448883046</v>
      </c>
      <c r="V25" s="133" t="n">
        <f aca="false">Funding!V218*(V11=0)</f>
        <v>504900.980014489</v>
      </c>
      <c r="W25" s="133" t="n">
        <f aca="false">Funding!W218*(W11=0)</f>
        <v>503263.630412542</v>
      </c>
      <c r="X25" s="133" t="n">
        <f aca="false">Funding!X218*(X11=0)</f>
        <v>501661.08221755</v>
      </c>
      <c r="Y25" s="133" t="n">
        <f aca="false">Funding!Y218*(Y11=0)</f>
        <v>498727.58292273</v>
      </c>
      <c r="Z25" s="133" t="n">
        <f aca="false">Funding!Z218*(Z11=0)</f>
        <v>498562.908610389</v>
      </c>
      <c r="AA25" s="133" t="n">
        <f aca="false">Funding!AA218*(AA11=0)</f>
        <v>497068.595171216</v>
      </c>
      <c r="AB25" s="133" t="n">
        <f aca="false">Funding!AB218*(AB11=0)</f>
        <v>495611.708332356</v>
      </c>
      <c r="AC25" s="133" t="n">
        <f aca="false">Funding!AC218*(AC11=0)</f>
        <v>0</v>
      </c>
      <c r="AD25" s="133" t="n">
        <f aca="false">Funding!AD218*(AD11=0)</f>
        <v>0</v>
      </c>
      <c r="AE25" s="133" t="n">
        <f aca="false">Funding!AE218*(AE11=0)</f>
        <v>0</v>
      </c>
      <c r="AF25" s="133" t="n">
        <f aca="false">Funding!AF218*(AF11=0)</f>
        <v>0</v>
      </c>
      <c r="AG25" s="133" t="n">
        <f aca="false">Funding!AG218*(AG11=0)</f>
        <v>0</v>
      </c>
      <c r="AH25" s="133" t="n">
        <f aca="false">Funding!AH218*(AH11=0)</f>
        <v>0</v>
      </c>
      <c r="AI25" s="133" t="n">
        <f aca="false">Funding!AI218*(AI11=0)</f>
        <v>0</v>
      </c>
      <c r="AJ25" s="133" t="n">
        <f aca="false">Funding!AJ218*(AJ11=0)</f>
        <v>0</v>
      </c>
      <c r="AK25" s="133" t="n">
        <f aca="false">Funding!AK218*(AK11=0)</f>
        <v>0</v>
      </c>
      <c r="AL25" s="133" t="n">
        <f aca="false">Funding!AL218*(AL11=0)</f>
        <v>0</v>
      </c>
    </row>
    <row r="26" customFormat="false" ht="15" hidden="false" customHeight="false" outlineLevel="0" collapsed="false">
      <c r="C26" s="132" t="s">
        <v>423</v>
      </c>
      <c r="D26" s="117"/>
      <c r="E26" s="118" t="s">
        <v>72</v>
      </c>
      <c r="F26" s="117"/>
      <c r="G26" s="117"/>
      <c r="H26" s="119"/>
      <c r="I26" s="123" t="e">
        <f aca="false">SUM(I24:I25)</f>
        <v>#VALUE!</v>
      </c>
      <c r="J26" s="123" t="e">
        <f aca="false">SUM(J24:J25)</f>
        <v>#VALUE!</v>
      </c>
      <c r="K26" s="123" t="e">
        <f aca="false">SUM(K24:K25)</f>
        <v>#VALUE!</v>
      </c>
      <c r="L26" s="123" t="e">
        <f aca="false">SUM(L24:L25)</f>
        <v>#VALUE!</v>
      </c>
      <c r="M26" s="123" t="e">
        <f aca="false">SUM(M24:M25)</f>
        <v>#VALUE!</v>
      </c>
      <c r="N26" s="123" t="e">
        <f aca="false">SUM(N24:N25)</f>
        <v>#VALUE!</v>
      </c>
      <c r="O26" s="123" t="e">
        <f aca="false">SUM(O24:O25)</f>
        <v>#VALUE!</v>
      </c>
      <c r="P26" s="123" t="e">
        <f aca="false">SUM(P24:P25)</f>
        <v>#VALUE!</v>
      </c>
      <c r="Q26" s="123" t="e">
        <f aca="false">SUM(Q24:Q25)</f>
        <v>#VALUE!</v>
      </c>
      <c r="R26" s="123" t="e">
        <f aca="false">SUM(R24:R25)</f>
        <v>#VALUE!</v>
      </c>
      <c r="S26" s="123" t="e">
        <f aca="false">SUM(S24:S25)</f>
        <v>#VALUE!</v>
      </c>
      <c r="T26" s="123" t="e">
        <f aca="false">SUM(T24:T25)</f>
        <v>#VALUE!</v>
      </c>
      <c r="U26" s="123" t="e">
        <f aca="false">SUM(U24:U25)</f>
        <v>#VALUE!</v>
      </c>
      <c r="V26" s="123" t="e">
        <f aca="false">SUM(V24:V25)</f>
        <v>#VALUE!</v>
      </c>
      <c r="W26" s="123" t="e">
        <f aca="false">SUM(W24:W25)</f>
        <v>#VALUE!</v>
      </c>
      <c r="X26" s="123" t="e">
        <f aca="false">SUM(X24:X25)</f>
        <v>#VALUE!</v>
      </c>
      <c r="Y26" s="123" t="e">
        <f aca="false">SUM(Y24:Y25)</f>
        <v>#VALUE!</v>
      </c>
      <c r="Z26" s="123" t="e">
        <f aca="false">SUM(Z24:Z25)</f>
        <v>#VALUE!</v>
      </c>
      <c r="AA26" s="123" t="e">
        <f aca="false">SUM(AA24:AA25)</f>
        <v>#VALUE!</v>
      </c>
      <c r="AB26" s="123" t="e">
        <f aca="false">SUM(AB24:AB25)</f>
        <v>#VALUE!</v>
      </c>
      <c r="AC26" s="123" t="e">
        <f aca="false">SUM(AC24:AC25)</f>
        <v>#VALUE!</v>
      </c>
      <c r="AD26" s="123" t="e">
        <f aca="false">SUM(AD24:AD25)</f>
        <v>#VALUE!</v>
      </c>
      <c r="AE26" s="123" t="e">
        <f aca="false">SUM(AE24:AE25)</f>
        <v>#VALUE!</v>
      </c>
      <c r="AF26" s="123" t="e">
        <f aca="false">SUM(AF24:AF25)</f>
        <v>#VALUE!</v>
      </c>
      <c r="AG26" s="123" t="e">
        <f aca="false">SUM(AG24:AG25)</f>
        <v>#VALUE!</v>
      </c>
      <c r="AH26" s="123" t="e">
        <f aca="false">SUM(AH24:AH25)</f>
        <v>#VALUE!</v>
      </c>
      <c r="AI26" s="123" t="e">
        <f aca="false">SUM(AI24:AI25)</f>
        <v>#VALUE!</v>
      </c>
      <c r="AJ26" s="123" t="e">
        <f aca="false">SUM(AJ24:AJ25)</f>
        <v>#VALUE!</v>
      </c>
      <c r="AK26" s="123" t="e">
        <f aca="false">SUM(AK24:AK25)</f>
        <v>#VALUE!</v>
      </c>
      <c r="AL26" s="123" t="e">
        <f aca="false">SUM(AL24:AL25)</f>
        <v>#VALUE!</v>
      </c>
    </row>
    <row r="28" customFormat="false" ht="15" hidden="false" customHeight="false" outlineLevel="0" collapsed="false">
      <c r="C28" s="2" t="s">
        <v>424</v>
      </c>
      <c r="E28" s="104" t="s">
        <v>72</v>
      </c>
      <c r="H28" s="0"/>
      <c r="I28" s="133" t="e">
        <f aca="false">I22+I26</f>
        <v>#NAME?</v>
      </c>
      <c r="J28" s="133" t="e">
        <f aca="false">J22+J26</f>
        <v>#NAME?</v>
      </c>
      <c r="K28" s="133" t="e">
        <f aca="false">K22+K26</f>
        <v>#NAME?</v>
      </c>
      <c r="L28" s="133" t="e">
        <f aca="false">L22+L26</f>
        <v>#NAME?</v>
      </c>
      <c r="M28" s="133" t="e">
        <f aca="false">M22+M26</f>
        <v>#NAME?</v>
      </c>
      <c r="N28" s="133" t="e">
        <f aca="false">N22+N26</f>
        <v>#NAME?</v>
      </c>
      <c r="O28" s="133" t="e">
        <f aca="false">O22+O26</f>
        <v>#NAME?</v>
      </c>
      <c r="P28" s="133" t="e">
        <f aca="false">P22+P26</f>
        <v>#NAME?</v>
      </c>
      <c r="Q28" s="133" t="e">
        <f aca="false">Q22+Q26</f>
        <v>#NAME?</v>
      </c>
      <c r="R28" s="133" t="e">
        <f aca="false">R22+R26</f>
        <v>#NAME?</v>
      </c>
      <c r="S28" s="133" t="e">
        <f aca="false">S22+S26</f>
        <v>#NAME?</v>
      </c>
      <c r="T28" s="133" t="e">
        <f aca="false">T22+T26</f>
        <v>#NAME?</v>
      </c>
      <c r="U28" s="133" t="e">
        <f aca="false">U22+U26</f>
        <v>#NAME?</v>
      </c>
      <c r="V28" s="133" t="e">
        <f aca="false">V22+V26</f>
        <v>#NAME?</v>
      </c>
      <c r="W28" s="133" t="e">
        <f aca="false">W22+W26</f>
        <v>#NAME?</v>
      </c>
      <c r="X28" s="133" t="e">
        <f aca="false">X22+X26</f>
        <v>#NAME?</v>
      </c>
      <c r="Y28" s="133" t="e">
        <f aca="false">Y22+Y26</f>
        <v>#NAME?</v>
      </c>
      <c r="Z28" s="133" t="e">
        <f aca="false">Z22+Z26</f>
        <v>#NAME?</v>
      </c>
      <c r="AA28" s="133" t="e">
        <f aca="false">AA22+AA26</f>
        <v>#NAME?</v>
      </c>
      <c r="AB28" s="133" t="e">
        <f aca="false">AB22+AB26</f>
        <v>#NAME?</v>
      </c>
      <c r="AC28" s="133" t="e">
        <f aca="false">AC22+AC26</f>
        <v>#NAME?</v>
      </c>
      <c r="AD28" s="133" t="e">
        <f aca="false">AD22+AD26</f>
        <v>#NAME?</v>
      </c>
      <c r="AE28" s="133" t="e">
        <f aca="false">AE22+AE26</f>
        <v>#NAME?</v>
      </c>
      <c r="AF28" s="133" t="e">
        <f aca="false">AF22+AF26</f>
        <v>#NAME?</v>
      </c>
      <c r="AG28" s="133" t="e">
        <f aca="false">AG22+AG26</f>
        <v>#NAME?</v>
      </c>
      <c r="AH28" s="133" t="e">
        <f aca="false">AH22+AH26</f>
        <v>#NAME?</v>
      </c>
      <c r="AI28" s="133" t="e">
        <f aca="false">AI22+AI26</f>
        <v>#NAME?</v>
      </c>
      <c r="AJ28" s="133" t="e">
        <f aca="false">AJ22+AJ26</f>
        <v>#NAME?</v>
      </c>
      <c r="AK28" s="133" t="e">
        <f aca="false">AK22+AK26</f>
        <v>#NAME?</v>
      </c>
      <c r="AL28" s="133" t="e">
        <f aca="false">AL22+AL26</f>
        <v>#NAME?</v>
      </c>
    </row>
    <row r="30" customFormat="false" ht="15" hidden="false" customHeight="false" outlineLevel="0" collapsed="false">
      <c r="B30" s="2" t="n">
        <f aca="false">(MAX($A$7:B29)+0.1)</f>
        <v>1.2</v>
      </c>
      <c r="C30" s="2" t="s">
        <v>425</v>
      </c>
      <c r="E30" s="0"/>
      <c r="H30" s="0"/>
    </row>
    <row r="31" customFormat="false" ht="15" hidden="false" customHeight="false" outlineLevel="0" collapsed="false">
      <c r="C31" s="0" t="s">
        <v>426</v>
      </c>
      <c r="E31" s="104" t="s">
        <v>72</v>
      </c>
      <c r="H31" s="0"/>
      <c r="I31" s="133" t="e">
        <f aca="false">Funding!I82</f>
        <v>#VALUE!</v>
      </c>
      <c r="J31" s="133" t="e">
        <f aca="false">Funding!J82</f>
        <v>#VALUE!</v>
      </c>
      <c r="K31" s="133" t="e">
        <f aca="false">Funding!K82</f>
        <v>#VALUE!</v>
      </c>
      <c r="L31" s="133" t="e">
        <f aca="false">Funding!L82</f>
        <v>#VALUE!</v>
      </c>
      <c r="M31" s="133" t="e">
        <f aca="false">Funding!M82</f>
        <v>#VALUE!</v>
      </c>
      <c r="N31" s="133" t="e">
        <f aca="false">Funding!N82</f>
        <v>#VALUE!</v>
      </c>
      <c r="O31" s="133" t="e">
        <f aca="false">Funding!O82</f>
        <v>#VALUE!</v>
      </c>
      <c r="P31" s="133" t="e">
        <f aca="false">Funding!P82</f>
        <v>#VALUE!</v>
      </c>
      <c r="Q31" s="133" t="e">
        <f aca="false">Funding!Q82</f>
        <v>#VALUE!</v>
      </c>
      <c r="R31" s="133" t="e">
        <f aca="false">Funding!R82</f>
        <v>#VALUE!</v>
      </c>
      <c r="S31" s="133" t="e">
        <f aca="false">Funding!S82</f>
        <v>#VALUE!</v>
      </c>
      <c r="T31" s="133" t="e">
        <f aca="false">Funding!T82</f>
        <v>#VALUE!</v>
      </c>
      <c r="U31" s="133" t="e">
        <f aca="false">Funding!U82</f>
        <v>#VALUE!</v>
      </c>
      <c r="V31" s="133" t="e">
        <f aca="false">Funding!V82</f>
        <v>#VALUE!</v>
      </c>
      <c r="W31" s="133" t="e">
        <f aca="false">Funding!W82</f>
        <v>#VALUE!</v>
      </c>
      <c r="X31" s="133" t="e">
        <f aca="false">Funding!X82</f>
        <v>#VALUE!</v>
      </c>
      <c r="Y31" s="133" t="e">
        <f aca="false">Funding!Y82</f>
        <v>#VALUE!</v>
      </c>
      <c r="Z31" s="133" t="e">
        <f aca="false">Funding!Z82</f>
        <v>#VALUE!</v>
      </c>
      <c r="AA31" s="133" t="e">
        <f aca="false">Funding!AA82</f>
        <v>#VALUE!</v>
      </c>
      <c r="AB31" s="133" t="e">
        <f aca="false">Funding!AB82</f>
        <v>#VALUE!</v>
      </c>
      <c r="AC31" s="133" t="e">
        <f aca="false">Funding!AC82</f>
        <v>#VALUE!</v>
      </c>
      <c r="AD31" s="133" t="e">
        <f aca="false">Funding!AD82</f>
        <v>#VALUE!</v>
      </c>
      <c r="AE31" s="133" t="e">
        <f aca="false">Funding!AE82</f>
        <v>#VALUE!</v>
      </c>
      <c r="AF31" s="133" t="e">
        <f aca="false">Funding!AF82</f>
        <v>#VALUE!</v>
      </c>
      <c r="AG31" s="133" t="e">
        <f aca="false">Funding!AG82</f>
        <v>#VALUE!</v>
      </c>
      <c r="AH31" s="133" t="e">
        <f aca="false">Funding!AH82</f>
        <v>#VALUE!</v>
      </c>
      <c r="AI31" s="133" t="e">
        <f aca="false">Funding!AI82</f>
        <v>#VALUE!</v>
      </c>
      <c r="AJ31" s="133" t="e">
        <f aca="false">Funding!AJ82</f>
        <v>#VALUE!</v>
      </c>
      <c r="AK31" s="133" t="e">
        <f aca="false">Funding!AK82</f>
        <v>#VALUE!</v>
      </c>
      <c r="AL31" s="133" t="e">
        <f aca="false">Funding!AL82</f>
        <v>#VALUE!</v>
      </c>
    </row>
    <row r="32" customFormat="false" ht="15" hidden="false" customHeight="false" outlineLevel="0" collapsed="false">
      <c r="C32" s="6" t="s">
        <v>177</v>
      </c>
      <c r="E32" s="104" t="s">
        <v>72</v>
      </c>
      <c r="H32" s="0"/>
      <c r="I32" s="133" t="e">
        <f aca="false">Funding!I138</f>
        <v>#VALUE!</v>
      </c>
      <c r="J32" s="133" t="e">
        <f aca="false">Funding!J138</f>
        <v>#VALUE!</v>
      </c>
      <c r="K32" s="133" t="e">
        <f aca="false">Funding!K138</f>
        <v>#VALUE!</v>
      </c>
      <c r="L32" s="133" t="e">
        <f aca="false">Funding!L138</f>
        <v>#VALUE!</v>
      </c>
      <c r="M32" s="133" t="e">
        <f aca="false">Funding!M138</f>
        <v>#VALUE!</v>
      </c>
      <c r="N32" s="133" t="e">
        <f aca="false">Funding!N138</f>
        <v>#VALUE!</v>
      </c>
      <c r="O32" s="133" t="e">
        <f aca="false">Funding!O138</f>
        <v>#VALUE!</v>
      </c>
      <c r="P32" s="133" t="e">
        <f aca="false">Funding!P138</f>
        <v>#VALUE!</v>
      </c>
      <c r="Q32" s="133" t="e">
        <f aca="false">Funding!Q138</f>
        <v>#VALUE!</v>
      </c>
      <c r="R32" s="133" t="e">
        <f aca="false">Funding!R138</f>
        <v>#VALUE!</v>
      </c>
      <c r="S32" s="133" t="e">
        <f aca="false">Funding!S138</f>
        <v>#VALUE!</v>
      </c>
      <c r="T32" s="133" t="e">
        <f aca="false">Funding!T138</f>
        <v>#VALUE!</v>
      </c>
      <c r="U32" s="133" t="e">
        <f aca="false">Funding!U138</f>
        <v>#VALUE!</v>
      </c>
      <c r="V32" s="133" t="e">
        <f aca="false">Funding!V138</f>
        <v>#VALUE!</v>
      </c>
      <c r="W32" s="133" t="e">
        <f aca="false">Funding!W138</f>
        <v>#VALUE!</v>
      </c>
      <c r="X32" s="133" t="e">
        <f aca="false">Funding!X138</f>
        <v>#VALUE!</v>
      </c>
      <c r="Y32" s="133" t="e">
        <f aca="false">Funding!Y138</f>
        <v>#VALUE!</v>
      </c>
      <c r="Z32" s="133" t="e">
        <f aca="false">Funding!Z138</f>
        <v>#VALUE!</v>
      </c>
      <c r="AA32" s="133" t="e">
        <f aca="false">Funding!AA138</f>
        <v>#VALUE!</v>
      </c>
      <c r="AB32" s="133" t="e">
        <f aca="false">Funding!AB138</f>
        <v>#VALUE!</v>
      </c>
      <c r="AC32" s="133" t="e">
        <f aca="false">Funding!AC138</f>
        <v>#VALUE!</v>
      </c>
      <c r="AD32" s="133" t="e">
        <f aca="false">Funding!AD138</f>
        <v>#VALUE!</v>
      </c>
      <c r="AE32" s="133" t="e">
        <f aca="false">Funding!AE138</f>
        <v>#VALUE!</v>
      </c>
      <c r="AF32" s="133" t="e">
        <f aca="false">Funding!AF138</f>
        <v>#VALUE!</v>
      </c>
      <c r="AG32" s="133" t="e">
        <f aca="false">Funding!AG138</f>
        <v>#VALUE!</v>
      </c>
      <c r="AH32" s="133" t="e">
        <f aca="false">Funding!AH138</f>
        <v>#VALUE!</v>
      </c>
      <c r="AI32" s="133" t="e">
        <f aca="false">Funding!AI138</f>
        <v>#VALUE!</v>
      </c>
      <c r="AJ32" s="133" t="e">
        <f aca="false">Funding!AJ138</f>
        <v>#VALUE!</v>
      </c>
      <c r="AK32" s="133" t="e">
        <f aca="false">Funding!AK138</f>
        <v>#VALUE!</v>
      </c>
      <c r="AL32" s="133" t="e">
        <f aca="false">Funding!AL138</f>
        <v>#VALUE!</v>
      </c>
    </row>
    <row r="33" customFormat="false" ht="15" hidden="false" customHeight="false" outlineLevel="0" collapsed="false">
      <c r="C33" s="132" t="s">
        <v>427</v>
      </c>
      <c r="D33" s="117"/>
      <c r="E33" s="118" t="s">
        <v>72</v>
      </c>
      <c r="F33" s="117"/>
      <c r="G33" s="117"/>
      <c r="H33" s="119"/>
      <c r="I33" s="123" t="e">
        <f aca="false">SUM(I31:I32)</f>
        <v>#VALUE!</v>
      </c>
      <c r="J33" s="123" t="e">
        <f aca="false">SUM(J31:J32)</f>
        <v>#VALUE!</v>
      </c>
      <c r="K33" s="123" t="e">
        <f aca="false">SUM(K31:K32)</f>
        <v>#VALUE!</v>
      </c>
      <c r="L33" s="123" t="e">
        <f aca="false">SUM(L31:L32)</f>
        <v>#VALUE!</v>
      </c>
      <c r="M33" s="123" t="e">
        <f aca="false">SUM(M31:M32)</f>
        <v>#VALUE!</v>
      </c>
      <c r="N33" s="123" t="e">
        <f aca="false">SUM(N31:N32)</f>
        <v>#VALUE!</v>
      </c>
      <c r="O33" s="123" t="e">
        <f aca="false">SUM(O31:O32)</f>
        <v>#VALUE!</v>
      </c>
      <c r="P33" s="123" t="e">
        <f aca="false">SUM(P31:P32)</f>
        <v>#VALUE!</v>
      </c>
      <c r="Q33" s="123" t="e">
        <f aca="false">SUM(Q31:Q32)</f>
        <v>#VALUE!</v>
      </c>
      <c r="R33" s="123" t="e">
        <f aca="false">SUM(R31:R32)</f>
        <v>#VALUE!</v>
      </c>
      <c r="S33" s="123" t="e">
        <f aca="false">SUM(S31:S32)</f>
        <v>#VALUE!</v>
      </c>
      <c r="T33" s="123" t="e">
        <f aca="false">SUM(T31:T32)</f>
        <v>#VALUE!</v>
      </c>
      <c r="U33" s="123" t="e">
        <f aca="false">SUM(U31:U32)</f>
        <v>#VALUE!</v>
      </c>
      <c r="V33" s="123" t="e">
        <f aca="false">SUM(V31:V32)</f>
        <v>#VALUE!</v>
      </c>
      <c r="W33" s="123" t="e">
        <f aca="false">SUM(W31:W32)</f>
        <v>#VALUE!</v>
      </c>
      <c r="X33" s="123" t="e">
        <f aca="false">SUM(X31:X32)</f>
        <v>#VALUE!</v>
      </c>
      <c r="Y33" s="123" t="e">
        <f aca="false">SUM(Y31:Y32)</f>
        <v>#VALUE!</v>
      </c>
      <c r="Z33" s="123" t="e">
        <f aca="false">SUM(Z31:Z32)</f>
        <v>#VALUE!</v>
      </c>
      <c r="AA33" s="123" t="e">
        <f aca="false">SUM(AA31:AA32)</f>
        <v>#VALUE!</v>
      </c>
      <c r="AB33" s="123" t="e">
        <f aca="false">SUM(AB31:AB32)</f>
        <v>#VALUE!</v>
      </c>
      <c r="AC33" s="123" t="e">
        <f aca="false">SUM(AC31:AC32)</f>
        <v>#VALUE!</v>
      </c>
      <c r="AD33" s="123" t="e">
        <f aca="false">SUM(AD31:AD32)</f>
        <v>#VALUE!</v>
      </c>
      <c r="AE33" s="123" t="e">
        <f aca="false">SUM(AE31:AE32)</f>
        <v>#VALUE!</v>
      </c>
      <c r="AF33" s="123" t="e">
        <f aca="false">SUM(AF31:AF32)</f>
        <v>#VALUE!</v>
      </c>
      <c r="AG33" s="123" t="e">
        <f aca="false">SUM(AG31:AG32)</f>
        <v>#VALUE!</v>
      </c>
      <c r="AH33" s="123" t="e">
        <f aca="false">SUM(AH31:AH32)</f>
        <v>#VALUE!</v>
      </c>
      <c r="AI33" s="123" t="e">
        <f aca="false">SUM(AI31:AI32)</f>
        <v>#VALUE!</v>
      </c>
      <c r="AJ33" s="123" t="e">
        <f aca="false">SUM(AJ31:AJ32)</f>
        <v>#VALUE!</v>
      </c>
      <c r="AK33" s="123" t="e">
        <f aca="false">SUM(AK31:AK32)</f>
        <v>#VALUE!</v>
      </c>
      <c r="AL33" s="123" t="e">
        <f aca="false">SUM(AL31:AL32)</f>
        <v>#VALUE!</v>
      </c>
    </row>
    <row r="35" customFormat="false" ht="15" hidden="false" customHeight="false" outlineLevel="0" collapsed="false">
      <c r="C35" s="0" t="s">
        <v>428</v>
      </c>
      <c r="E35" s="0"/>
      <c r="H35" s="0"/>
      <c r="I35" s="133" t="n">
        <f aca="false">H40</f>
        <v>0</v>
      </c>
      <c r="J35" s="133" t="e">
        <f aca="false">I40</f>
        <v>#VALUE!</v>
      </c>
      <c r="K35" s="133" t="e">
        <f aca="false">J40</f>
        <v>#VALUE!</v>
      </c>
      <c r="L35" s="133" t="e">
        <f aca="false">K40</f>
        <v>#VALUE!</v>
      </c>
      <c r="M35" s="133" t="e">
        <f aca="false">L40</f>
        <v>#VALUE!</v>
      </c>
      <c r="N35" s="133" t="e">
        <f aca="false">M40</f>
        <v>#VALUE!</v>
      </c>
      <c r="O35" s="133" t="e">
        <f aca="false">N40</f>
        <v>#VALUE!</v>
      </c>
      <c r="P35" s="133" t="e">
        <f aca="false">O40</f>
        <v>#VALUE!</v>
      </c>
      <c r="Q35" s="133" t="e">
        <f aca="false">P40</f>
        <v>#VALUE!</v>
      </c>
      <c r="R35" s="133" t="e">
        <f aca="false">Q40</f>
        <v>#VALUE!</v>
      </c>
      <c r="S35" s="133" t="e">
        <f aca="false">R40</f>
        <v>#VALUE!</v>
      </c>
      <c r="T35" s="133" t="e">
        <f aca="false">S40</f>
        <v>#VALUE!</v>
      </c>
      <c r="U35" s="133" t="e">
        <f aca="false">T40</f>
        <v>#VALUE!</v>
      </c>
      <c r="V35" s="133" t="e">
        <f aca="false">U40</f>
        <v>#VALUE!</v>
      </c>
      <c r="W35" s="133" t="e">
        <f aca="false">V40</f>
        <v>#VALUE!</v>
      </c>
      <c r="X35" s="133" t="e">
        <f aca="false">W40</f>
        <v>#VALUE!</v>
      </c>
      <c r="Y35" s="133" t="e">
        <f aca="false">X40</f>
        <v>#VALUE!</v>
      </c>
      <c r="Z35" s="133" t="e">
        <f aca="false">Y40</f>
        <v>#VALUE!</v>
      </c>
      <c r="AA35" s="133" t="e">
        <f aca="false">Z40</f>
        <v>#VALUE!</v>
      </c>
      <c r="AB35" s="133" t="e">
        <f aca="false">AA40</f>
        <v>#VALUE!</v>
      </c>
      <c r="AC35" s="133" t="e">
        <f aca="false">AB40</f>
        <v>#VALUE!</v>
      </c>
      <c r="AD35" s="133" t="e">
        <f aca="false">AC40</f>
        <v>#VALUE!</v>
      </c>
      <c r="AE35" s="133" t="e">
        <f aca="false">AD40</f>
        <v>#VALUE!</v>
      </c>
      <c r="AF35" s="133" t="e">
        <f aca="false">AE40</f>
        <v>#VALUE!</v>
      </c>
      <c r="AG35" s="133" t="e">
        <f aca="false">AF40</f>
        <v>#VALUE!</v>
      </c>
      <c r="AH35" s="133" t="e">
        <f aca="false">AG40</f>
        <v>#VALUE!</v>
      </c>
      <c r="AI35" s="133" t="e">
        <f aca="false">AH40</f>
        <v>#VALUE!</v>
      </c>
      <c r="AJ35" s="133" t="e">
        <f aca="false">AI40</f>
        <v>#VALUE!</v>
      </c>
      <c r="AK35" s="133" t="e">
        <f aca="false">AJ40</f>
        <v>#VALUE!</v>
      </c>
      <c r="AL35" s="133" t="e">
        <f aca="false">AK40</f>
        <v>#VALUE!</v>
      </c>
    </row>
    <row r="36" customFormat="false" ht="15" hidden="false" customHeight="false" outlineLevel="0" collapsed="false">
      <c r="C36" s="0" t="s">
        <v>429</v>
      </c>
      <c r="E36" s="104" t="s">
        <v>72</v>
      </c>
      <c r="H36" s="0"/>
      <c r="I36" s="133" t="e">
        <f aca="false">Funding!I22</f>
        <v>#VALUE!</v>
      </c>
      <c r="J36" s="133" t="e">
        <f aca="false">Funding!J22</f>
        <v>#VALUE!</v>
      </c>
      <c r="K36" s="133" t="e">
        <f aca="false">Funding!K22</f>
        <v>#VALUE!</v>
      </c>
      <c r="L36" s="133" t="e">
        <f aca="false">Funding!L22</f>
        <v>#VALUE!</v>
      </c>
      <c r="M36" s="133" t="e">
        <f aca="false">Funding!M22</f>
        <v>#VALUE!</v>
      </c>
      <c r="N36" s="133" t="e">
        <f aca="false">Funding!N22</f>
        <v>#VALUE!</v>
      </c>
      <c r="O36" s="133" t="e">
        <f aca="false">Funding!O22</f>
        <v>#VALUE!</v>
      </c>
      <c r="P36" s="133" t="e">
        <f aca="false">Funding!P22</f>
        <v>#VALUE!</v>
      </c>
      <c r="Q36" s="133" t="e">
        <f aca="false">Funding!Q22</f>
        <v>#VALUE!</v>
      </c>
      <c r="R36" s="133" t="e">
        <f aca="false">Funding!R22</f>
        <v>#VALUE!</v>
      </c>
      <c r="S36" s="133" t="e">
        <f aca="false">Funding!S22</f>
        <v>#VALUE!</v>
      </c>
      <c r="T36" s="133" t="e">
        <f aca="false">Funding!T22</f>
        <v>#VALUE!</v>
      </c>
      <c r="U36" s="133" t="e">
        <f aca="false">Funding!U22</f>
        <v>#VALUE!</v>
      </c>
      <c r="V36" s="133" t="e">
        <f aca="false">Funding!V22</f>
        <v>#VALUE!</v>
      </c>
      <c r="W36" s="133" t="e">
        <f aca="false">Funding!W22</f>
        <v>#VALUE!</v>
      </c>
      <c r="X36" s="133" t="e">
        <f aca="false">Funding!X22</f>
        <v>#VALUE!</v>
      </c>
      <c r="Y36" s="133" t="e">
        <f aca="false">Funding!Y22</f>
        <v>#VALUE!</v>
      </c>
      <c r="Z36" s="133" t="e">
        <f aca="false">Funding!Z22</f>
        <v>#VALUE!</v>
      </c>
      <c r="AA36" s="133" t="e">
        <f aca="false">Funding!AA22</f>
        <v>#VALUE!</v>
      </c>
      <c r="AB36" s="133" t="e">
        <f aca="false">Funding!AB22</f>
        <v>#VALUE!</v>
      </c>
      <c r="AC36" s="133" t="e">
        <f aca="false">Funding!AC22</f>
        <v>#VALUE!</v>
      </c>
      <c r="AD36" s="133" t="e">
        <f aca="false">Funding!AD22</f>
        <v>#VALUE!</v>
      </c>
      <c r="AE36" s="133" t="e">
        <f aca="false">Funding!AE22</f>
        <v>#VALUE!</v>
      </c>
      <c r="AF36" s="133" t="e">
        <f aca="false">Funding!AF22</f>
        <v>#VALUE!</v>
      </c>
      <c r="AG36" s="133" t="e">
        <f aca="false">Funding!AG22</f>
        <v>#VALUE!</v>
      </c>
      <c r="AH36" s="133" t="e">
        <f aca="false">Funding!AH22</f>
        <v>#VALUE!</v>
      </c>
      <c r="AI36" s="133" t="e">
        <f aca="false">Funding!AI22</f>
        <v>#VALUE!</v>
      </c>
      <c r="AJ36" s="133" t="e">
        <f aca="false">Funding!AJ22</f>
        <v>#VALUE!</v>
      </c>
      <c r="AK36" s="133" t="e">
        <f aca="false">Funding!AK22</f>
        <v>#VALUE!</v>
      </c>
      <c r="AL36" s="133" t="e">
        <f aca="false">Funding!AL22</f>
        <v>#VALUE!</v>
      </c>
    </row>
    <row r="37" customFormat="false" ht="15" hidden="false" customHeight="false" outlineLevel="0" collapsed="false">
      <c r="C37" s="0" t="s">
        <v>430</v>
      </c>
      <c r="E37" s="104" t="s">
        <v>72</v>
      </c>
      <c r="H37" s="0"/>
      <c r="I37" s="133" t="e">
        <f aca="false">Funding!I48+Funding!I50</f>
        <v>#NAME?</v>
      </c>
      <c r="J37" s="133" t="e">
        <f aca="false">Funding!J48+Funding!J50</f>
        <v>#NAME?</v>
      </c>
      <c r="K37" s="133" t="e">
        <f aca="false">Funding!K48+Funding!K50</f>
        <v>#NAME?</v>
      </c>
      <c r="L37" s="133" t="e">
        <f aca="false">Funding!L48+Funding!L50</f>
        <v>#NAME?</v>
      </c>
      <c r="M37" s="133" t="e">
        <f aca="false">Funding!M48+Funding!M50</f>
        <v>#NAME?</v>
      </c>
      <c r="N37" s="133" t="e">
        <f aca="false">Funding!N48+Funding!N50</f>
        <v>#NAME?</v>
      </c>
      <c r="O37" s="133" t="e">
        <f aca="false">Funding!O48+Funding!O50</f>
        <v>#NAME?</v>
      </c>
      <c r="P37" s="133" t="e">
        <f aca="false">Funding!P48+Funding!P50</f>
        <v>#NAME?</v>
      </c>
      <c r="Q37" s="133" t="e">
        <f aca="false">Funding!Q48+Funding!Q50</f>
        <v>#NAME?</v>
      </c>
      <c r="R37" s="133" t="e">
        <f aca="false">Funding!R48+Funding!R50</f>
        <v>#NAME?</v>
      </c>
      <c r="S37" s="133" t="e">
        <f aca="false">Funding!S48+Funding!S50</f>
        <v>#NAME?</v>
      </c>
      <c r="T37" s="133" t="e">
        <f aca="false">Funding!T48+Funding!T50</f>
        <v>#NAME?</v>
      </c>
      <c r="U37" s="133" t="e">
        <f aca="false">Funding!U48+Funding!U50</f>
        <v>#NAME?</v>
      </c>
      <c r="V37" s="133" t="e">
        <f aca="false">Funding!V48+Funding!V50</f>
        <v>#NAME?</v>
      </c>
      <c r="W37" s="133" t="e">
        <f aca="false">Funding!W48+Funding!W50</f>
        <v>#NAME?</v>
      </c>
      <c r="X37" s="133" t="e">
        <f aca="false">Funding!X48+Funding!X50</f>
        <v>#NAME?</v>
      </c>
      <c r="Y37" s="133" t="e">
        <f aca="false">Funding!Y48+Funding!Y50</f>
        <v>#NAME?</v>
      </c>
      <c r="Z37" s="133" t="e">
        <f aca="false">Funding!Z48+Funding!Z50</f>
        <v>#NAME?</v>
      </c>
      <c r="AA37" s="133" t="e">
        <f aca="false">Funding!AA48+Funding!AA50</f>
        <v>#NAME?</v>
      </c>
      <c r="AB37" s="133" t="e">
        <f aca="false">Funding!AB48+Funding!AB50</f>
        <v>#NAME?</v>
      </c>
      <c r="AC37" s="133" t="e">
        <f aca="false">Funding!AC48+Funding!AC50</f>
        <v>#NAME?</v>
      </c>
      <c r="AD37" s="133" t="e">
        <f aca="false">Funding!AD48+Funding!AD50</f>
        <v>#NAME?</v>
      </c>
      <c r="AE37" s="133" t="e">
        <f aca="false">Funding!AE48+Funding!AE50</f>
        <v>#NAME?</v>
      </c>
      <c r="AF37" s="133" t="e">
        <f aca="false">Funding!AF48+Funding!AF50</f>
        <v>#NAME?</v>
      </c>
      <c r="AG37" s="133" t="e">
        <f aca="false">Funding!AG48+Funding!AG50</f>
        <v>#NAME?</v>
      </c>
      <c r="AH37" s="133" t="e">
        <f aca="false">Funding!AH48+Funding!AH50</f>
        <v>#NAME?</v>
      </c>
      <c r="AI37" s="133" t="e">
        <f aca="false">Funding!AI48+Funding!AI50</f>
        <v>#NAME?</v>
      </c>
      <c r="AJ37" s="133" t="e">
        <f aca="false">Funding!AJ48+Funding!AJ50</f>
        <v>#NAME?</v>
      </c>
      <c r="AK37" s="133" t="e">
        <f aca="false">Funding!AK48+Funding!AK50</f>
        <v>#NAME?</v>
      </c>
      <c r="AL37" s="133" t="e">
        <f aca="false">Funding!AL48+Funding!AL50</f>
        <v>#NAME?</v>
      </c>
    </row>
    <row r="38" customFormat="false" ht="15" hidden="false" customHeight="false" outlineLevel="0" collapsed="false">
      <c r="C38" s="0" t="s">
        <v>431</v>
      </c>
      <c r="E38" s="104" t="s">
        <v>72</v>
      </c>
      <c r="H38" s="0"/>
      <c r="I38" s="133" t="e">
        <f aca="false">Funding!I49</f>
        <v>#NAME?</v>
      </c>
      <c r="J38" s="133" t="e">
        <f aca="false">Funding!J49</f>
        <v>#NAME?</v>
      </c>
      <c r="K38" s="133" t="e">
        <f aca="false">Funding!K49</f>
        <v>#NAME?</v>
      </c>
      <c r="L38" s="133" t="e">
        <f aca="false">Funding!L49</f>
        <v>#NAME?</v>
      </c>
      <c r="M38" s="133" t="e">
        <f aca="false">Funding!M49</f>
        <v>#NAME?</v>
      </c>
      <c r="N38" s="133" t="e">
        <f aca="false">Funding!N49</f>
        <v>#NAME?</v>
      </c>
      <c r="O38" s="133" t="e">
        <f aca="false">Funding!O49</f>
        <v>#NAME?</v>
      </c>
      <c r="P38" s="133" t="e">
        <f aca="false">Funding!P49</f>
        <v>#NAME?</v>
      </c>
      <c r="Q38" s="133" t="e">
        <f aca="false">Funding!Q49</f>
        <v>#NAME?</v>
      </c>
      <c r="R38" s="133" t="e">
        <f aca="false">Funding!R49</f>
        <v>#NAME?</v>
      </c>
      <c r="S38" s="133" t="e">
        <f aca="false">Funding!S49</f>
        <v>#NAME?</v>
      </c>
      <c r="T38" s="133" t="e">
        <f aca="false">Funding!T49</f>
        <v>#NAME?</v>
      </c>
      <c r="U38" s="133" t="e">
        <f aca="false">Funding!U49</f>
        <v>#NAME?</v>
      </c>
      <c r="V38" s="133" t="e">
        <f aca="false">Funding!V49</f>
        <v>#NAME?</v>
      </c>
      <c r="W38" s="133" t="e">
        <f aca="false">Funding!W49</f>
        <v>#NAME?</v>
      </c>
      <c r="X38" s="133" t="e">
        <f aca="false">Funding!X49</f>
        <v>#NAME?</v>
      </c>
      <c r="Y38" s="133" t="e">
        <f aca="false">Funding!Y49</f>
        <v>#NAME?</v>
      </c>
      <c r="Z38" s="133" t="e">
        <f aca="false">Funding!Z49</f>
        <v>#NAME?</v>
      </c>
      <c r="AA38" s="133" t="e">
        <f aca="false">Funding!AA49</f>
        <v>#NAME?</v>
      </c>
      <c r="AB38" s="133" t="e">
        <f aca="false">Funding!AB49</f>
        <v>#NAME?</v>
      </c>
      <c r="AC38" s="133" t="e">
        <f aca="false">Funding!AC49</f>
        <v>#NAME?</v>
      </c>
      <c r="AD38" s="133" t="e">
        <f aca="false">Funding!AD49</f>
        <v>#NAME?</v>
      </c>
      <c r="AE38" s="133" t="e">
        <f aca="false">Funding!AE49</f>
        <v>#NAME?</v>
      </c>
      <c r="AF38" s="133" t="e">
        <f aca="false">Funding!AF49</f>
        <v>#NAME?</v>
      </c>
      <c r="AG38" s="133" t="e">
        <f aca="false">Funding!AG49</f>
        <v>#NAME?</v>
      </c>
      <c r="AH38" s="133" t="e">
        <f aca="false">Funding!AH49</f>
        <v>#NAME?</v>
      </c>
      <c r="AI38" s="133" t="e">
        <f aca="false">Funding!AI49</f>
        <v>#NAME?</v>
      </c>
      <c r="AJ38" s="133" t="e">
        <f aca="false">Funding!AJ49</f>
        <v>#NAME?</v>
      </c>
      <c r="AK38" s="133" t="e">
        <f aca="false">Funding!AK49</f>
        <v>#NAME?</v>
      </c>
      <c r="AL38" s="133" t="e">
        <f aca="false">Funding!AL49</f>
        <v>#NAME?</v>
      </c>
    </row>
    <row r="39" customFormat="false" ht="15" hidden="false" customHeight="false" outlineLevel="0" collapsed="false">
      <c r="C39" s="0" t="s">
        <v>257</v>
      </c>
      <c r="E39" s="104" t="s">
        <v>72</v>
      </c>
      <c r="G39" s="133"/>
      <c r="H39" s="0"/>
      <c r="I39" s="122" t="e">
        <f aca="false">'Cash Flow'!I100</f>
        <v>#VALUE!</v>
      </c>
      <c r="J39" s="122" t="e">
        <f aca="false">'Cash Flow'!J100</f>
        <v>#VALUE!</v>
      </c>
      <c r="K39" s="122" t="e">
        <f aca="false">'Cash Flow'!K100</f>
        <v>#VALUE!</v>
      </c>
      <c r="L39" s="122" t="e">
        <f aca="false">'Cash Flow'!L100</f>
        <v>#VALUE!</v>
      </c>
      <c r="M39" s="122" t="e">
        <f aca="false">'Cash Flow'!M100</f>
        <v>#VALUE!</v>
      </c>
      <c r="N39" s="122" t="e">
        <f aca="false">'Cash Flow'!N100</f>
        <v>#VALUE!</v>
      </c>
      <c r="O39" s="122" t="e">
        <f aca="false">'Cash Flow'!O100</f>
        <v>#VALUE!</v>
      </c>
      <c r="P39" s="122" t="e">
        <f aca="false">'Cash Flow'!P100</f>
        <v>#VALUE!</v>
      </c>
      <c r="Q39" s="122" t="e">
        <f aca="false">'Cash Flow'!Q100</f>
        <v>#VALUE!</v>
      </c>
      <c r="R39" s="122" t="e">
        <f aca="false">'Cash Flow'!R100</f>
        <v>#VALUE!</v>
      </c>
      <c r="S39" s="122" t="e">
        <f aca="false">'Cash Flow'!S100</f>
        <v>#VALUE!</v>
      </c>
      <c r="T39" s="122" t="e">
        <f aca="false">'Cash Flow'!T100</f>
        <v>#VALUE!</v>
      </c>
      <c r="U39" s="122" t="e">
        <f aca="false">'Cash Flow'!U100</f>
        <v>#VALUE!</v>
      </c>
      <c r="V39" s="122" t="e">
        <f aca="false">'Cash Flow'!V100</f>
        <v>#VALUE!</v>
      </c>
      <c r="W39" s="122" t="e">
        <f aca="false">'Cash Flow'!W100</f>
        <v>#VALUE!</v>
      </c>
      <c r="X39" s="122" t="e">
        <f aca="false">'Cash Flow'!X100</f>
        <v>#VALUE!</v>
      </c>
      <c r="Y39" s="122" t="e">
        <f aca="false">'Cash Flow'!Y100</f>
        <v>#VALUE!</v>
      </c>
      <c r="Z39" s="122" t="e">
        <f aca="false">'Cash Flow'!Z100</f>
        <v>#VALUE!</v>
      </c>
      <c r="AA39" s="122" t="e">
        <f aca="false">'Cash Flow'!AA100</f>
        <v>#VALUE!</v>
      </c>
      <c r="AB39" s="122" t="e">
        <f aca="false">'Cash Flow'!AB100</f>
        <v>#VALUE!</v>
      </c>
      <c r="AC39" s="122" t="e">
        <f aca="false">'Cash Flow'!AC100</f>
        <v>#VALUE!</v>
      </c>
      <c r="AD39" s="122" t="e">
        <f aca="false">'Cash Flow'!AD100</f>
        <v>#VALUE!</v>
      </c>
      <c r="AE39" s="122" t="e">
        <f aca="false">'Cash Flow'!AE100</f>
        <v>#VALUE!</v>
      </c>
      <c r="AF39" s="122" t="e">
        <f aca="false">'Cash Flow'!AF100</f>
        <v>#VALUE!</v>
      </c>
      <c r="AG39" s="122" t="e">
        <f aca="false">'Cash Flow'!AG100</f>
        <v>#VALUE!</v>
      </c>
      <c r="AH39" s="122" t="e">
        <f aca="false">'Cash Flow'!AH100</f>
        <v>#VALUE!</v>
      </c>
      <c r="AI39" s="122" t="e">
        <f aca="false">'Cash Flow'!AI100</f>
        <v>#VALUE!</v>
      </c>
      <c r="AJ39" s="122" t="e">
        <f aca="false">'Cash Flow'!AJ100</f>
        <v>#VALUE!</v>
      </c>
      <c r="AK39" s="122" t="e">
        <f aca="false">'Cash Flow'!AK100</f>
        <v>#VALUE!</v>
      </c>
      <c r="AL39" s="122" t="e">
        <f aca="false">'Cash Flow'!AL100</f>
        <v>#VALUE!</v>
      </c>
    </row>
    <row r="40" customFormat="false" ht="15" hidden="false" customHeight="false" outlineLevel="0" collapsed="false">
      <c r="C40" s="117" t="s">
        <v>432</v>
      </c>
      <c r="D40" s="117"/>
      <c r="E40" s="118" t="s">
        <v>72</v>
      </c>
      <c r="F40" s="117"/>
      <c r="G40" s="117"/>
      <c r="H40" s="119"/>
      <c r="I40" s="123" t="e">
        <f aca="false">SUM(I35:I39)</f>
        <v>#VALUE!</v>
      </c>
      <c r="J40" s="123" t="e">
        <f aca="false">SUM(J35:J39)</f>
        <v>#VALUE!</v>
      </c>
      <c r="K40" s="123" t="e">
        <f aca="false">SUM(K35:K39)</f>
        <v>#VALUE!</v>
      </c>
      <c r="L40" s="123" t="e">
        <f aca="false">SUM(L35:L39)</f>
        <v>#VALUE!</v>
      </c>
      <c r="M40" s="123" t="e">
        <f aca="false">SUM(M35:M39)</f>
        <v>#VALUE!</v>
      </c>
      <c r="N40" s="123" t="e">
        <f aca="false">SUM(N35:N39)</f>
        <v>#VALUE!</v>
      </c>
      <c r="O40" s="123" t="e">
        <f aca="false">SUM(O35:O39)</f>
        <v>#VALUE!</v>
      </c>
      <c r="P40" s="123" t="e">
        <f aca="false">SUM(P35:P39)</f>
        <v>#VALUE!</v>
      </c>
      <c r="Q40" s="123" t="e">
        <f aca="false">SUM(Q35:Q39)</f>
        <v>#VALUE!</v>
      </c>
      <c r="R40" s="123" t="e">
        <f aca="false">SUM(R35:R39)</f>
        <v>#VALUE!</v>
      </c>
      <c r="S40" s="123" t="e">
        <f aca="false">SUM(S35:S39)</f>
        <v>#VALUE!</v>
      </c>
      <c r="T40" s="123" t="e">
        <f aca="false">SUM(T35:T39)</f>
        <v>#VALUE!</v>
      </c>
      <c r="U40" s="123" t="e">
        <f aca="false">SUM(U35:U39)</f>
        <v>#VALUE!</v>
      </c>
      <c r="V40" s="123" t="e">
        <f aca="false">SUM(V35:V39)</f>
        <v>#VALUE!</v>
      </c>
      <c r="W40" s="123" t="e">
        <f aca="false">SUM(W35:W39)</f>
        <v>#VALUE!</v>
      </c>
      <c r="X40" s="123" t="e">
        <f aca="false">SUM(X35:X39)</f>
        <v>#VALUE!</v>
      </c>
      <c r="Y40" s="123" t="e">
        <f aca="false">SUM(Y35:Y39)</f>
        <v>#VALUE!</v>
      </c>
      <c r="Z40" s="123" t="e">
        <f aca="false">SUM(Z35:Z39)</f>
        <v>#VALUE!</v>
      </c>
      <c r="AA40" s="123" t="e">
        <f aca="false">SUM(AA35:AA39)</f>
        <v>#VALUE!</v>
      </c>
      <c r="AB40" s="123" t="e">
        <f aca="false">SUM(AB35:AB39)</f>
        <v>#VALUE!</v>
      </c>
      <c r="AC40" s="123" t="e">
        <f aca="false">SUM(AC35:AC39)</f>
        <v>#VALUE!</v>
      </c>
      <c r="AD40" s="123" t="e">
        <f aca="false">SUM(AD35:AD39)</f>
        <v>#VALUE!</v>
      </c>
      <c r="AE40" s="123" t="e">
        <f aca="false">SUM(AE35:AE39)</f>
        <v>#VALUE!</v>
      </c>
      <c r="AF40" s="123" t="e">
        <f aca="false">SUM(AF35:AF39)</f>
        <v>#VALUE!</v>
      </c>
      <c r="AG40" s="123" t="e">
        <f aca="false">SUM(AG35:AG39)</f>
        <v>#VALUE!</v>
      </c>
      <c r="AH40" s="123" t="e">
        <f aca="false">SUM(AH35:AH39)</f>
        <v>#VALUE!</v>
      </c>
      <c r="AI40" s="123" t="e">
        <f aca="false">SUM(AI35:AI39)</f>
        <v>#VALUE!</v>
      </c>
      <c r="AJ40" s="123" t="e">
        <f aca="false">SUM(AJ35:AJ39)</f>
        <v>#VALUE!</v>
      </c>
      <c r="AK40" s="123" t="e">
        <f aca="false">SUM(AK35:AK39)</f>
        <v>#VALUE!</v>
      </c>
      <c r="AL40" s="123" t="e">
        <f aca="false">SUM(AL35:AL39)</f>
        <v>#VALUE!</v>
      </c>
    </row>
    <row r="41" customFormat="false" ht="15" hidden="false" customHeight="false" outlineLevel="0" collapsed="false">
      <c r="E41" s="0"/>
      <c r="H41" s="0"/>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88"/>
      <c r="AK41" s="133"/>
      <c r="AL41" s="133"/>
    </row>
    <row r="42" customFormat="false" ht="15" hidden="false" customHeight="false" outlineLevel="0" collapsed="false">
      <c r="C42" s="0" t="s">
        <v>220</v>
      </c>
      <c r="E42" s="104" t="s">
        <v>72</v>
      </c>
      <c r="H42" s="0"/>
      <c r="I42" s="133" t="e">
        <f aca="false">'Cash Flow'!I43</f>
        <v>#VALUE!</v>
      </c>
      <c r="J42" s="133" t="e">
        <f aca="false">'Cash Flow'!J43</f>
        <v>#VALUE!</v>
      </c>
      <c r="K42" s="133" t="e">
        <f aca="false">'Cash Flow'!K43</f>
        <v>#VALUE!</v>
      </c>
      <c r="L42" s="133" t="e">
        <f aca="false">'Cash Flow'!L43</f>
        <v>#VALUE!</v>
      </c>
      <c r="M42" s="133" t="e">
        <f aca="false">'Cash Flow'!M43</f>
        <v>#VALUE!</v>
      </c>
      <c r="N42" s="133" t="e">
        <f aca="false">'Cash Flow'!N43</f>
        <v>#VALUE!</v>
      </c>
      <c r="O42" s="133" t="e">
        <f aca="false">'Cash Flow'!O43</f>
        <v>#VALUE!</v>
      </c>
      <c r="P42" s="133" t="e">
        <f aca="false">'Cash Flow'!P43</f>
        <v>#VALUE!</v>
      </c>
      <c r="Q42" s="133" t="e">
        <f aca="false">'Cash Flow'!Q43</f>
        <v>#VALUE!</v>
      </c>
      <c r="R42" s="133" t="e">
        <f aca="false">'Cash Flow'!R43</f>
        <v>#VALUE!</v>
      </c>
      <c r="S42" s="133" t="e">
        <f aca="false">'Cash Flow'!S43</f>
        <v>#VALUE!</v>
      </c>
      <c r="T42" s="133" t="e">
        <f aca="false">'Cash Flow'!T43</f>
        <v>#VALUE!</v>
      </c>
      <c r="U42" s="133" t="e">
        <f aca="false">'Cash Flow'!U43</f>
        <v>#VALUE!</v>
      </c>
      <c r="V42" s="133" t="e">
        <f aca="false">'Cash Flow'!V43</f>
        <v>#VALUE!</v>
      </c>
      <c r="W42" s="133" t="e">
        <f aca="false">'Cash Flow'!W43</f>
        <v>#VALUE!</v>
      </c>
      <c r="X42" s="133" t="e">
        <f aca="false">'Cash Flow'!X43</f>
        <v>#VALUE!</v>
      </c>
      <c r="Y42" s="133" t="e">
        <f aca="false">'Cash Flow'!Y43</f>
        <v>#VALUE!</v>
      </c>
      <c r="Z42" s="133" t="e">
        <f aca="false">'Cash Flow'!Z43</f>
        <v>#VALUE!</v>
      </c>
      <c r="AA42" s="133" t="e">
        <f aca="false">'Cash Flow'!AA43</f>
        <v>#VALUE!</v>
      </c>
      <c r="AB42" s="133" t="e">
        <f aca="false">'Cash Flow'!AB43</f>
        <v>#VALUE!</v>
      </c>
      <c r="AC42" s="133" t="e">
        <f aca="false">'Cash Flow'!AC43</f>
        <v>#VALUE!</v>
      </c>
      <c r="AD42" s="133" t="e">
        <f aca="false">'Cash Flow'!AD43</f>
        <v>#VALUE!</v>
      </c>
      <c r="AE42" s="133" t="e">
        <f aca="false">'Cash Flow'!AE43</f>
        <v>#VALUE!</v>
      </c>
      <c r="AF42" s="133" t="e">
        <f aca="false">'Cash Flow'!AF43</f>
        <v>#VALUE!</v>
      </c>
      <c r="AG42" s="133" t="e">
        <f aca="false">'Cash Flow'!AG43</f>
        <v>#VALUE!</v>
      </c>
      <c r="AH42" s="133" t="e">
        <f aca="false">'Cash Flow'!AH43</f>
        <v>#VALUE!</v>
      </c>
      <c r="AI42" s="133" t="e">
        <f aca="false">'Cash Flow'!AI43</f>
        <v>#VALUE!</v>
      </c>
      <c r="AJ42" s="133" t="e">
        <f aca="false">'Cash Flow'!AJ43</f>
        <v>#VALUE!</v>
      </c>
      <c r="AK42" s="133" t="e">
        <f aca="false">'Cash Flow'!AK43</f>
        <v>#VALUE!</v>
      </c>
      <c r="AL42" s="133" t="e">
        <f aca="false">'Cash Flow'!AL43</f>
        <v>#VALUE!</v>
      </c>
    </row>
    <row r="43" customFormat="false" ht="15" hidden="false" customHeight="false" outlineLevel="0" collapsed="false">
      <c r="C43" s="0" t="s">
        <v>433</v>
      </c>
      <c r="E43" s="104" t="s">
        <v>72</v>
      </c>
      <c r="H43" s="0"/>
      <c r="I43" s="122" t="e">
        <f aca="false">'Cash Flow'!I103</f>
        <v>#VALUE!</v>
      </c>
      <c r="J43" s="122" t="e">
        <f aca="false">'Cash Flow'!J103</f>
        <v>#VALUE!</v>
      </c>
      <c r="K43" s="122" t="e">
        <f aca="false">'Cash Flow'!K103</f>
        <v>#VALUE!</v>
      </c>
      <c r="L43" s="122" t="e">
        <f aca="false">'Cash Flow'!L103</f>
        <v>#VALUE!</v>
      </c>
      <c r="M43" s="122" t="e">
        <f aca="false">'Cash Flow'!M103</f>
        <v>#VALUE!</v>
      </c>
      <c r="N43" s="122" t="e">
        <f aca="false">'Cash Flow'!N103</f>
        <v>#VALUE!</v>
      </c>
      <c r="O43" s="122" t="e">
        <f aca="false">'Cash Flow'!O103</f>
        <v>#VALUE!</v>
      </c>
      <c r="P43" s="122" t="e">
        <f aca="false">'Cash Flow'!P103</f>
        <v>#VALUE!</v>
      </c>
      <c r="Q43" s="122" t="e">
        <f aca="false">'Cash Flow'!Q103</f>
        <v>#VALUE!</v>
      </c>
      <c r="R43" s="122" t="e">
        <f aca="false">'Cash Flow'!R103</f>
        <v>#VALUE!</v>
      </c>
      <c r="S43" s="122" t="e">
        <f aca="false">'Cash Flow'!S103</f>
        <v>#VALUE!</v>
      </c>
      <c r="T43" s="122" t="e">
        <f aca="false">'Cash Flow'!T103</f>
        <v>#VALUE!</v>
      </c>
      <c r="U43" s="122" t="e">
        <f aca="false">'Cash Flow'!U103</f>
        <v>#VALUE!</v>
      </c>
      <c r="V43" s="122" t="e">
        <f aca="false">'Cash Flow'!V103</f>
        <v>#VALUE!</v>
      </c>
      <c r="W43" s="122" t="e">
        <f aca="false">'Cash Flow'!W103</f>
        <v>#VALUE!</v>
      </c>
      <c r="X43" s="122" t="e">
        <f aca="false">'Cash Flow'!X103</f>
        <v>#VALUE!</v>
      </c>
      <c r="Y43" s="122" t="e">
        <f aca="false">'Cash Flow'!Y103</f>
        <v>#VALUE!</v>
      </c>
      <c r="Z43" s="122" t="e">
        <f aca="false">'Cash Flow'!Z103</f>
        <v>#VALUE!</v>
      </c>
      <c r="AA43" s="122" t="e">
        <f aca="false">'Cash Flow'!AA103</f>
        <v>#VALUE!</v>
      </c>
      <c r="AB43" s="122" t="e">
        <f aca="false">'Cash Flow'!AB103</f>
        <v>#VALUE!</v>
      </c>
      <c r="AC43" s="122" t="e">
        <f aca="false">'Cash Flow'!AC103</f>
        <v>#VALUE!</v>
      </c>
      <c r="AD43" s="122" t="e">
        <f aca="false">'Cash Flow'!AD103</f>
        <v>#VALUE!</v>
      </c>
      <c r="AE43" s="122" t="e">
        <f aca="false">'Cash Flow'!AE103</f>
        <v>#VALUE!</v>
      </c>
      <c r="AF43" s="122" t="e">
        <f aca="false">'Cash Flow'!AF103</f>
        <v>#VALUE!</v>
      </c>
      <c r="AG43" s="122" t="e">
        <f aca="false">'Cash Flow'!AG103</f>
        <v>#VALUE!</v>
      </c>
      <c r="AH43" s="122" t="e">
        <f aca="false">'Cash Flow'!AH103</f>
        <v>#VALUE!</v>
      </c>
      <c r="AI43" s="122" t="e">
        <f aca="false">'Cash Flow'!AI103</f>
        <v>#VALUE!</v>
      </c>
      <c r="AJ43" s="122" t="e">
        <f aca="false">'Cash Flow'!AJ103</f>
        <v>#VALUE!</v>
      </c>
      <c r="AK43" s="133" t="e">
        <f aca="false">'Cash Flow'!AK103</f>
        <v>#VALUE!</v>
      </c>
      <c r="AL43" s="133" t="e">
        <f aca="false">'Cash Flow'!AL103</f>
        <v>#VALUE!</v>
      </c>
    </row>
    <row r="44" customFormat="false" ht="15" hidden="false" customHeight="false" outlineLevel="0" collapsed="false">
      <c r="C44" s="117" t="s">
        <v>434</v>
      </c>
      <c r="D44" s="117"/>
      <c r="E44" s="118" t="s">
        <v>72</v>
      </c>
      <c r="F44" s="117"/>
      <c r="G44" s="117"/>
      <c r="H44" s="119"/>
      <c r="I44" s="123" t="e">
        <f aca="false">SUM(I42:I43,H44)*((I10+I6)&gt;0)</f>
        <v>#VALUE!</v>
      </c>
      <c r="J44" s="123" t="e">
        <f aca="false">SUM(J42:J43,I44)*((J10+J6)&gt;0)</f>
        <v>#VALUE!</v>
      </c>
      <c r="K44" s="123" t="e">
        <f aca="false">SUM(K42:K43,J44)*((K10+K6)&gt;0)</f>
        <v>#VALUE!</v>
      </c>
      <c r="L44" s="123" t="e">
        <f aca="false">SUM(L42:L43,K44)*((L10+L6)&gt;0)</f>
        <v>#VALUE!</v>
      </c>
      <c r="M44" s="123" t="e">
        <f aca="false">SUM(M42:M43,L44)*((M10+M6)&gt;0)</f>
        <v>#VALUE!</v>
      </c>
      <c r="N44" s="123" t="e">
        <f aca="false">SUM(N42:N43,M44)*((N10+N6)&gt;0)</f>
        <v>#VALUE!</v>
      </c>
      <c r="O44" s="123" t="e">
        <f aca="false">SUM(O42:O43,N44)*((O10+O6)&gt;0)</f>
        <v>#VALUE!</v>
      </c>
      <c r="P44" s="123" t="e">
        <f aca="false">SUM(P42:P43,O44)*((P10+P6)&gt;0)</f>
        <v>#VALUE!</v>
      </c>
      <c r="Q44" s="123" t="e">
        <f aca="false">SUM(Q42:Q43,P44)*((Q10+Q6)&gt;0)</f>
        <v>#VALUE!</v>
      </c>
      <c r="R44" s="123" t="e">
        <f aca="false">SUM(R42:R43,Q44)*((R10+R6)&gt;0)</f>
        <v>#VALUE!</v>
      </c>
      <c r="S44" s="123" t="e">
        <f aca="false">SUM(S42:S43,R44)*((S10+S6)&gt;0)</f>
        <v>#VALUE!</v>
      </c>
      <c r="T44" s="123" t="e">
        <f aca="false">SUM(T42:T43,S44)*((T10+T6)&gt;0)</f>
        <v>#VALUE!</v>
      </c>
      <c r="U44" s="123" t="e">
        <f aca="false">SUM(U42:U43,T44)*((U10+U6)&gt;0)</f>
        <v>#VALUE!</v>
      </c>
      <c r="V44" s="123" t="e">
        <f aca="false">SUM(V42:V43,U44)*((V10+V6)&gt;0)</f>
        <v>#VALUE!</v>
      </c>
      <c r="W44" s="123" t="e">
        <f aca="false">SUM(W42:W43,V44)*((W10+W6)&gt;0)</f>
        <v>#VALUE!</v>
      </c>
      <c r="X44" s="123" t="e">
        <f aca="false">SUM(X42:X43,W44)*((X10+X6)&gt;0)</f>
        <v>#VALUE!</v>
      </c>
      <c r="Y44" s="123" t="e">
        <f aca="false">SUM(Y42:Y43,X44)*((Y10+Y6)&gt;0)</f>
        <v>#VALUE!</v>
      </c>
      <c r="Z44" s="123" t="e">
        <f aca="false">SUM(Z42:Z43,Y44)*((Z10+Z6)&gt;0)</f>
        <v>#VALUE!</v>
      </c>
      <c r="AA44" s="123" t="e">
        <f aca="false">SUM(AA42:AA43,Z44)*((AA10+AA6)&gt;0)</f>
        <v>#VALUE!</v>
      </c>
      <c r="AB44" s="123" t="e">
        <f aca="false">SUM(AB42:AB43,AA44)*((AB10+AB6)&gt;0)</f>
        <v>#VALUE!</v>
      </c>
      <c r="AC44" s="123" t="e">
        <f aca="false">SUM(AC42:AC43,AB44)*((AC10+AC6)&gt;0)</f>
        <v>#VALUE!</v>
      </c>
      <c r="AD44" s="123" t="e">
        <f aca="false">SUM(AD42:AD43,AC44)*((AD10+AD6)&gt;0)</f>
        <v>#VALUE!</v>
      </c>
      <c r="AE44" s="123" t="e">
        <f aca="false">SUM(AE42:AE43,AD44)*((AE10+AE6)&gt;0)</f>
        <v>#VALUE!</v>
      </c>
      <c r="AF44" s="123" t="e">
        <f aca="false">SUM(AF42:AF43,AE44)*((AF10+AF6)&gt;0)</f>
        <v>#VALUE!</v>
      </c>
      <c r="AG44" s="123" t="e">
        <f aca="false">SUM(AG42:AG43,AF44)*((AG10+AG6)&gt;0)</f>
        <v>#VALUE!</v>
      </c>
      <c r="AH44" s="123" t="e">
        <f aca="false">SUM(AH42:AH43,AG44)*((AH10+AH6)&gt;0)</f>
        <v>#VALUE!</v>
      </c>
      <c r="AI44" s="123" t="e">
        <f aca="false">SUM(AI42:AI43,AH44)*((AI10+AI6)&gt;0)</f>
        <v>#VALUE!</v>
      </c>
      <c r="AJ44" s="123" t="e">
        <f aca="false">SUM(AJ42:AJ43,AI44)*((AJ10+AJ6)&gt;0)</f>
        <v>#VALUE!</v>
      </c>
      <c r="AK44" s="123" t="e">
        <f aca="false">SUM(AK42:AK43,AJ44)*((AK10+AK6)&gt;0)</f>
        <v>#VALUE!</v>
      </c>
      <c r="AL44" s="123" t="e">
        <f aca="false">SUM(AL42:AL43,AK44)*((AL10+AL6)&gt;0)</f>
        <v>#VALUE!</v>
      </c>
    </row>
    <row r="45" customFormat="false" ht="15" hidden="false" customHeight="false" outlineLevel="0" collapsed="false">
      <c r="E45" s="0"/>
      <c r="H45" s="0"/>
      <c r="AJ45" s="188"/>
    </row>
    <row r="46" customFormat="false" ht="15" hidden="false" customHeight="false" outlineLevel="0" collapsed="false">
      <c r="C46" s="0" t="s">
        <v>435</v>
      </c>
      <c r="E46" s="104" t="s">
        <v>72</v>
      </c>
      <c r="H46" s="0"/>
      <c r="I46" s="133" t="e">
        <f aca="false">SUM(I33,I40,I44)</f>
        <v>#VALUE!</v>
      </c>
      <c r="J46" s="133" t="e">
        <f aca="false">SUM(J33,J40,J44)</f>
        <v>#VALUE!</v>
      </c>
      <c r="K46" s="133" t="e">
        <f aca="false">SUM(K33,K40,K44)</f>
        <v>#VALUE!</v>
      </c>
      <c r="L46" s="133" t="e">
        <f aca="false">SUM(L33,L40,L44)</f>
        <v>#VALUE!</v>
      </c>
      <c r="M46" s="133" t="e">
        <f aca="false">SUM(M33,M40,M44)</f>
        <v>#VALUE!</v>
      </c>
      <c r="N46" s="133" t="e">
        <f aca="false">SUM(N33,N40,N44)</f>
        <v>#VALUE!</v>
      </c>
      <c r="O46" s="133" t="e">
        <f aca="false">SUM(O33,O40,O44)</f>
        <v>#VALUE!</v>
      </c>
      <c r="P46" s="133" t="e">
        <f aca="false">SUM(P33,P40,P44)</f>
        <v>#VALUE!</v>
      </c>
      <c r="Q46" s="133" t="e">
        <f aca="false">SUM(Q33,Q40,Q44)</f>
        <v>#VALUE!</v>
      </c>
      <c r="R46" s="133" t="e">
        <f aca="false">SUM(R33,R40,R44)</f>
        <v>#VALUE!</v>
      </c>
      <c r="S46" s="133" t="e">
        <f aca="false">SUM(S33,S40,S44)</f>
        <v>#VALUE!</v>
      </c>
      <c r="T46" s="133" t="e">
        <f aca="false">SUM(T33,T40,T44)</f>
        <v>#VALUE!</v>
      </c>
      <c r="U46" s="133" t="e">
        <f aca="false">SUM(U33,U40,U44)</f>
        <v>#VALUE!</v>
      </c>
      <c r="V46" s="133" t="e">
        <f aca="false">SUM(V33,V40,V44)</f>
        <v>#VALUE!</v>
      </c>
      <c r="W46" s="133" t="e">
        <f aca="false">SUM(W33,W40,W44)</f>
        <v>#VALUE!</v>
      </c>
      <c r="X46" s="133" t="e">
        <f aca="false">SUM(X33,X40,X44)</f>
        <v>#VALUE!</v>
      </c>
      <c r="Y46" s="133" t="e">
        <f aca="false">SUM(Y33,Y40,Y44)</f>
        <v>#VALUE!</v>
      </c>
      <c r="Z46" s="133" t="e">
        <f aca="false">SUM(Z33,Z40,Z44)</f>
        <v>#VALUE!</v>
      </c>
      <c r="AA46" s="133" t="e">
        <f aca="false">SUM(AA33,AA40,AA44)</f>
        <v>#VALUE!</v>
      </c>
      <c r="AB46" s="133" t="e">
        <f aca="false">SUM(AB33,AB40,AB44)</f>
        <v>#VALUE!</v>
      </c>
      <c r="AC46" s="133" t="e">
        <f aca="false">SUM(AC33,AC40,AC44)</f>
        <v>#VALUE!</v>
      </c>
      <c r="AD46" s="133" t="e">
        <f aca="false">SUM(AD33,AD40,AD44)</f>
        <v>#VALUE!</v>
      </c>
      <c r="AE46" s="133" t="e">
        <f aca="false">SUM(AE33,AE40,AE44)</f>
        <v>#VALUE!</v>
      </c>
      <c r="AF46" s="133" t="e">
        <f aca="false">SUM(AF33,AF40,AF44)</f>
        <v>#VALUE!</v>
      </c>
      <c r="AG46" s="133" t="e">
        <f aca="false">SUM(AG33,AG40,AG44)</f>
        <v>#VALUE!</v>
      </c>
      <c r="AH46" s="133" t="e">
        <f aca="false">SUM(AH33,AH40,AH44)</f>
        <v>#VALUE!</v>
      </c>
      <c r="AI46" s="133" t="e">
        <f aca="false">SUM(AI33,AI40,AI44)</f>
        <v>#VALUE!</v>
      </c>
      <c r="AJ46" s="133" t="e">
        <f aca="false">SUM(AJ33,AJ40,AJ44)</f>
        <v>#VALUE!</v>
      </c>
      <c r="AK46" s="133" t="e">
        <f aca="false">SUM(AK33,AK40,AK44)</f>
        <v>#VALUE!</v>
      </c>
      <c r="AL46" s="133" t="e">
        <f aca="false">SUM(AL33,AL40,AL44)</f>
        <v>#VALUE!</v>
      </c>
    </row>
    <row r="47" customFormat="false" ht="15" hidden="false" customHeight="false" outlineLevel="0" collapsed="false">
      <c r="E47" s="0"/>
      <c r="H47" s="0"/>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row>
    <row r="48" customFormat="false" ht="15" hidden="false" customHeight="false" outlineLevel="0" collapsed="false">
      <c r="C48" s="0" t="s">
        <v>251</v>
      </c>
      <c r="E48" s="0"/>
      <c r="G48" s="133" t="e">
        <f aca="false">SUM(I48:AL48)</f>
        <v>#VALUE!</v>
      </c>
      <c r="H48" s="0"/>
      <c r="I48" s="188" t="e">
        <f aca="false">I46-I28</f>
        <v>#VALUE!</v>
      </c>
      <c r="J48" s="189" t="e">
        <f aca="false">J46-J28</f>
        <v>#VALUE!</v>
      </c>
      <c r="K48" s="189" t="e">
        <f aca="false">K46-K28</f>
        <v>#VALUE!</v>
      </c>
      <c r="L48" s="189" t="e">
        <f aca="false">L46-L28</f>
        <v>#VALUE!</v>
      </c>
      <c r="M48" s="189" t="e">
        <f aca="false">M46-M28</f>
        <v>#VALUE!</v>
      </c>
      <c r="N48" s="189" t="e">
        <f aca="false">N46-N28</f>
        <v>#VALUE!</v>
      </c>
      <c r="O48" s="189" t="e">
        <f aca="false">O46-O28</f>
        <v>#VALUE!</v>
      </c>
      <c r="P48" s="189" t="e">
        <f aca="false">P46-P28</f>
        <v>#VALUE!</v>
      </c>
      <c r="Q48" s="189" t="e">
        <f aca="false">Q46-Q28</f>
        <v>#VALUE!</v>
      </c>
      <c r="R48" s="189" t="e">
        <f aca="false">R46-R28</f>
        <v>#VALUE!</v>
      </c>
      <c r="S48" s="189" t="e">
        <f aca="false">S46-S28</f>
        <v>#VALUE!</v>
      </c>
      <c r="T48" s="189" t="e">
        <f aca="false">T46-T28</f>
        <v>#VALUE!</v>
      </c>
      <c r="U48" s="189" t="e">
        <f aca="false">U46-U28</f>
        <v>#VALUE!</v>
      </c>
      <c r="V48" s="189" t="e">
        <f aca="false">V46-V28</f>
        <v>#VALUE!</v>
      </c>
      <c r="W48" s="189" t="e">
        <f aca="false">W46-W28</f>
        <v>#VALUE!</v>
      </c>
      <c r="X48" s="189" t="e">
        <f aca="false">X46-X28</f>
        <v>#VALUE!</v>
      </c>
      <c r="Y48" s="189" t="e">
        <f aca="false">Y46-Y28</f>
        <v>#VALUE!</v>
      </c>
      <c r="Z48" s="189" t="e">
        <f aca="false">Z46-Z28</f>
        <v>#VALUE!</v>
      </c>
      <c r="AA48" s="189" t="e">
        <f aca="false">AA46-AA28</f>
        <v>#VALUE!</v>
      </c>
      <c r="AB48" s="189" t="e">
        <f aca="false">AB46-AB28</f>
        <v>#VALUE!</v>
      </c>
      <c r="AC48" s="189" t="e">
        <f aca="false">AC46-AC28</f>
        <v>#VALUE!</v>
      </c>
      <c r="AD48" s="189" t="e">
        <f aca="false">AD46-AD28</f>
        <v>#VALUE!</v>
      </c>
      <c r="AE48" s="189" t="e">
        <f aca="false">AE46-AE28</f>
        <v>#VALUE!</v>
      </c>
      <c r="AF48" s="189" t="e">
        <f aca="false">AF46-AF28</f>
        <v>#VALUE!</v>
      </c>
      <c r="AG48" s="189" t="e">
        <f aca="false">AG46-AG28</f>
        <v>#VALUE!</v>
      </c>
      <c r="AH48" s="189" t="e">
        <f aca="false">AH46-AH28</f>
        <v>#VALUE!</v>
      </c>
      <c r="AI48" s="189" t="e">
        <f aca="false">AI46-AI28</f>
        <v>#VALUE!</v>
      </c>
      <c r="AJ48" s="189" t="e">
        <f aca="false">AJ46-AJ28</f>
        <v>#VALUE!</v>
      </c>
      <c r="AK48" s="189" t="e">
        <f aca="false">AK46-AK28</f>
        <v>#VALUE!</v>
      </c>
      <c r="AL48" s="189" t="e">
        <f aca="false">AL46-AL28</f>
        <v>#VALUE!</v>
      </c>
    </row>
    <row r="50" customFormat="false" ht="15" hidden="false" customHeight="false" outlineLevel="0" collapsed="false">
      <c r="C50" s="0" t="s">
        <v>436</v>
      </c>
      <c r="E50" s="0"/>
      <c r="H50" s="0"/>
      <c r="I50" s="190" t="n">
        <f aca="false">IFERROR(I33/I40,0)</f>
        <v>0</v>
      </c>
      <c r="J50" s="190" t="n">
        <f aca="false">IFERROR(J33/J40,0)</f>
        <v>0</v>
      </c>
      <c r="K50" s="190" t="n">
        <f aca="false">IFERROR(K33/K40,0)</f>
        <v>0</v>
      </c>
      <c r="L50" s="190" t="n">
        <f aca="false">IFERROR(L33/L40,0)</f>
        <v>0</v>
      </c>
      <c r="M50" s="190" t="n">
        <f aca="false">IFERROR(M33/M40,0)</f>
        <v>0</v>
      </c>
      <c r="N50" s="190" t="n">
        <f aca="false">IFERROR(N33/N40,0)</f>
        <v>0</v>
      </c>
      <c r="O50" s="190" t="n">
        <f aca="false">IFERROR(O33/O40,0)</f>
        <v>0</v>
      </c>
      <c r="P50" s="190" t="n">
        <f aca="false">IFERROR(P33/P40,0)</f>
        <v>0</v>
      </c>
      <c r="Q50" s="190" t="n">
        <f aca="false">IFERROR(Q33/Q40,0)</f>
        <v>0</v>
      </c>
      <c r="R50" s="190" t="n">
        <f aca="false">IFERROR(R33/R40,0)</f>
        <v>0</v>
      </c>
      <c r="S50" s="190" t="n">
        <f aca="false">IFERROR(S33/S40,0)</f>
        <v>0</v>
      </c>
      <c r="T50" s="190" t="n">
        <f aca="false">IFERROR(T33/T40,0)</f>
        <v>0</v>
      </c>
      <c r="U50" s="190" t="n">
        <f aca="false">IFERROR(U33/U40,0)</f>
        <v>0</v>
      </c>
      <c r="V50" s="190" t="n">
        <f aca="false">IFERROR(V33/V40,0)</f>
        <v>0</v>
      </c>
      <c r="W50" s="190" t="n">
        <f aca="false">IFERROR(W33/W40,0)</f>
        <v>0</v>
      </c>
      <c r="X50" s="190" t="n">
        <f aca="false">IFERROR(X33/X40,0)</f>
        <v>0</v>
      </c>
      <c r="Y50" s="190" t="n">
        <f aca="false">IFERROR(Y33/Y40,0)</f>
        <v>0</v>
      </c>
      <c r="Z50" s="190" t="n">
        <f aca="false">IFERROR(Z33/Z40,0)</f>
        <v>0</v>
      </c>
      <c r="AA50" s="190" t="n">
        <f aca="false">IFERROR(AA33/AA40,0)</f>
        <v>0</v>
      </c>
      <c r="AB50" s="190" t="n">
        <f aca="false">IFERROR(AB33/AB40,0)</f>
        <v>0</v>
      </c>
      <c r="AC50" s="190" t="n">
        <f aca="false">IFERROR(AC33/AC40,0)</f>
        <v>0</v>
      </c>
      <c r="AD50" s="190" t="n">
        <f aca="false">IFERROR(AD33/AD40,0)</f>
        <v>0</v>
      </c>
      <c r="AE50" s="190" t="n">
        <f aca="false">IFERROR(AE33/AE40,0)</f>
        <v>0</v>
      </c>
      <c r="AF50" s="190" t="n">
        <f aca="false">IFERROR(AF33/AF40,0)</f>
        <v>0</v>
      </c>
      <c r="AG50" s="190" t="n">
        <f aca="false">IFERROR(AG33/AG40,0)</f>
        <v>0</v>
      </c>
      <c r="AH50" s="190" t="n">
        <f aca="false">IFERROR(AH33/AH40,0)</f>
        <v>0</v>
      </c>
      <c r="AI50" s="190" t="n">
        <f aca="false">IFERROR(AI33/AI40,0)</f>
        <v>0</v>
      </c>
      <c r="AJ50" s="190" t="n">
        <f aca="false">IFERROR(AJ33/AJ40,0)</f>
        <v>0</v>
      </c>
      <c r="AK50" s="190" t="n">
        <f aca="false">IFERROR(AK33/AK40,0)</f>
        <v>0</v>
      </c>
      <c r="AL50" s="190" t="n">
        <f aca="false">IFERROR(AL33/AL40,0)</f>
        <v>0</v>
      </c>
    </row>
    <row r="52" s="30" customFormat="true" ht="16.9" hidden="false" customHeight="true" outlineLevel="0" collapsed="false">
      <c r="A52" s="30" t="n">
        <f aca="false">COUNT($A$6:A51)+1</f>
        <v>2</v>
      </c>
      <c r="C52" s="30" t="s">
        <v>437</v>
      </c>
      <c r="E52" s="31"/>
      <c r="H52" s="112"/>
    </row>
    <row r="53" customFormat="false" ht="15" hidden="false" customHeight="false" outlineLevel="0" collapsed="false">
      <c r="E53" s="0"/>
      <c r="H53" s="0"/>
    </row>
    <row r="54" customFormat="false" ht="15" hidden="false" customHeight="false" outlineLevel="0" collapsed="false">
      <c r="B54" s="2" t="n">
        <f aca="false">(MAX($A$7:B53)+0.1)</f>
        <v>2.1</v>
      </c>
      <c r="C54" s="2" t="s">
        <v>438</v>
      </c>
      <c r="E54" s="0"/>
      <c r="H54" s="0"/>
    </row>
    <row r="55" customFormat="false" ht="15" hidden="false" customHeight="false" outlineLevel="0" collapsed="false">
      <c r="C55" s="0" t="s">
        <v>439</v>
      </c>
      <c r="E55" s="104" t="s">
        <v>72</v>
      </c>
      <c r="H55" s="0"/>
      <c r="I55" s="133" t="n">
        <f aca="false">IF(Thin_cap_rule="yes",Thin_Cap_Ratio*I35,I59)</f>
        <v>0</v>
      </c>
      <c r="J55" s="133" t="e">
        <f aca="false">IF(Thin_cap_rule="yes",Thin_Cap_Ratio*J35,J59)</f>
        <v>#VALUE!</v>
      </c>
      <c r="K55" s="133" t="e">
        <f aca="false">IF(Thin_cap_rule="yes",Thin_Cap_Ratio*K35,K59)</f>
        <v>#VALUE!</v>
      </c>
      <c r="L55" s="133" t="e">
        <f aca="false">IF(Thin_cap_rule="yes",Thin_Cap_Ratio*L35,L59)</f>
        <v>#VALUE!</v>
      </c>
      <c r="M55" s="133" t="e">
        <f aca="false">IF(Thin_cap_rule="yes",Thin_Cap_Ratio*M35,M59)</f>
        <v>#VALUE!</v>
      </c>
      <c r="N55" s="133" t="e">
        <f aca="false">IF(Thin_cap_rule="yes",Thin_Cap_Ratio*N35,N59)</f>
        <v>#VALUE!</v>
      </c>
      <c r="O55" s="133" t="e">
        <f aca="false">IF(Thin_cap_rule="yes",Thin_Cap_Ratio*O35,O59)</f>
        <v>#VALUE!</v>
      </c>
      <c r="P55" s="133" t="e">
        <f aca="false">IF(Thin_cap_rule="yes",Thin_Cap_Ratio*P35,P59)</f>
        <v>#VALUE!</v>
      </c>
      <c r="Q55" s="133" t="e">
        <f aca="false">IF(Thin_cap_rule="yes",Thin_Cap_Ratio*Q35,Q59)</f>
        <v>#VALUE!</v>
      </c>
      <c r="R55" s="133" t="e">
        <f aca="false">IF(Thin_cap_rule="yes",Thin_Cap_Ratio*R35,R59)</f>
        <v>#VALUE!</v>
      </c>
      <c r="S55" s="133" t="e">
        <f aca="false">IF(Thin_cap_rule="yes",Thin_Cap_Ratio*S35,S59)</f>
        <v>#VALUE!</v>
      </c>
      <c r="T55" s="133" t="e">
        <f aca="false">IF(Thin_cap_rule="yes",Thin_Cap_Ratio*T35,T59)</f>
        <v>#VALUE!</v>
      </c>
      <c r="U55" s="133" t="e">
        <f aca="false">IF(Thin_cap_rule="yes",Thin_Cap_Ratio*U35,U59)</f>
        <v>#VALUE!</v>
      </c>
      <c r="V55" s="133" t="e">
        <f aca="false">IF(Thin_cap_rule="yes",Thin_Cap_Ratio*V35,V59)</f>
        <v>#VALUE!</v>
      </c>
      <c r="W55" s="133" t="e">
        <f aca="false">IF(Thin_cap_rule="yes",Thin_Cap_Ratio*W35,W59)</f>
        <v>#VALUE!</v>
      </c>
      <c r="X55" s="133" t="e">
        <f aca="false">IF(Thin_cap_rule="yes",Thin_Cap_Ratio*X35,X59)</f>
        <v>#VALUE!</v>
      </c>
      <c r="Y55" s="133" t="e">
        <f aca="false">IF(Thin_cap_rule="yes",Thin_Cap_Ratio*Y35,Y59)</f>
        <v>#VALUE!</v>
      </c>
      <c r="Z55" s="133" t="e">
        <f aca="false">IF(Thin_cap_rule="yes",Thin_Cap_Ratio*Z35,Z59)</f>
        <v>#VALUE!</v>
      </c>
      <c r="AA55" s="133" t="e">
        <f aca="false">IF(Thin_cap_rule="yes",Thin_Cap_Ratio*AA35,AA59)</f>
        <v>#VALUE!</v>
      </c>
      <c r="AB55" s="133" t="e">
        <f aca="false">IF(Thin_cap_rule="yes",Thin_Cap_Ratio*AB35,AB59)</f>
        <v>#VALUE!</v>
      </c>
      <c r="AC55" s="133" t="e">
        <f aca="false">IF(Thin_cap_rule="yes",Thin_Cap_Ratio*AC35,AC59)</f>
        <v>#VALUE!</v>
      </c>
      <c r="AD55" s="133" t="e">
        <f aca="false">IF(Thin_cap_rule="yes",Thin_Cap_Ratio*AD35,AD59)</f>
        <v>#VALUE!</v>
      </c>
      <c r="AE55" s="133" t="e">
        <f aca="false">IF(Thin_cap_rule="yes",Thin_Cap_Ratio*AE35,AE59)</f>
        <v>#VALUE!</v>
      </c>
      <c r="AF55" s="133" t="e">
        <f aca="false">IF(Thin_cap_rule="yes",Thin_Cap_Ratio*AF35,AF59)</f>
        <v>#VALUE!</v>
      </c>
      <c r="AG55" s="133" t="e">
        <f aca="false">IF(Thin_cap_rule="yes",Thin_Cap_Ratio*AG35,AG59)</f>
        <v>#VALUE!</v>
      </c>
      <c r="AH55" s="133" t="e">
        <f aca="false">IF(Thin_cap_rule="yes",Thin_Cap_Ratio*AH35,AH59)</f>
        <v>#VALUE!</v>
      </c>
      <c r="AI55" s="133" t="e">
        <f aca="false">IF(Thin_cap_rule="yes",Thin_Cap_Ratio*AI35,AI59)</f>
        <v>#VALUE!</v>
      </c>
      <c r="AJ55" s="133" t="e">
        <f aca="false">IF(Thin_cap_rule="yes",Thin_Cap_Ratio*AJ35,AJ59)</f>
        <v>#VALUE!</v>
      </c>
      <c r="AK55" s="133" t="e">
        <f aca="false">IF(Thin_cap_rule="yes",Thin_Cap_Ratio*AK35,AK59)</f>
        <v>#VALUE!</v>
      </c>
      <c r="AL55" s="133" t="e">
        <f aca="false">IF(Thin_cap_rule="yes",Thin_Cap_Ratio*AL35,AL59)</f>
        <v>#VALUE!</v>
      </c>
    </row>
    <row r="56" customFormat="false" ht="15" hidden="false" customHeight="false" outlineLevel="0" collapsed="false">
      <c r="E56" s="0"/>
      <c r="H56" s="0"/>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row>
    <row r="57" customFormat="false" ht="15" hidden="false" customHeight="false" outlineLevel="0" collapsed="false">
      <c r="C57" s="0" t="s">
        <v>440</v>
      </c>
      <c r="E57" s="104" t="s">
        <v>72</v>
      </c>
      <c r="H57" s="0"/>
      <c r="I57" s="133" t="n">
        <f aca="false">Funding!H82</f>
        <v>0</v>
      </c>
      <c r="J57" s="133" t="e">
        <f aca="false">Funding!I82</f>
        <v>#VALUE!</v>
      </c>
      <c r="K57" s="133" t="e">
        <f aca="false">Funding!J82</f>
        <v>#VALUE!</v>
      </c>
      <c r="L57" s="133" t="e">
        <f aca="false">Funding!K82</f>
        <v>#VALUE!</v>
      </c>
      <c r="M57" s="133" t="e">
        <f aca="false">Funding!L82</f>
        <v>#VALUE!</v>
      </c>
      <c r="N57" s="133" t="e">
        <f aca="false">Funding!M82</f>
        <v>#VALUE!</v>
      </c>
      <c r="O57" s="133" t="e">
        <f aca="false">Funding!N82</f>
        <v>#VALUE!</v>
      </c>
      <c r="P57" s="133" t="e">
        <f aca="false">Funding!O82</f>
        <v>#VALUE!</v>
      </c>
      <c r="Q57" s="133" t="e">
        <f aca="false">Funding!P82</f>
        <v>#VALUE!</v>
      </c>
      <c r="R57" s="133" t="e">
        <f aca="false">Funding!Q82</f>
        <v>#VALUE!</v>
      </c>
      <c r="S57" s="133" t="e">
        <f aca="false">Funding!R82</f>
        <v>#VALUE!</v>
      </c>
      <c r="T57" s="133" t="e">
        <f aca="false">Funding!S82</f>
        <v>#VALUE!</v>
      </c>
      <c r="U57" s="133" t="e">
        <f aca="false">Funding!T82</f>
        <v>#VALUE!</v>
      </c>
      <c r="V57" s="133" t="e">
        <f aca="false">Funding!U82</f>
        <v>#VALUE!</v>
      </c>
      <c r="W57" s="133" t="e">
        <f aca="false">Funding!V82</f>
        <v>#VALUE!</v>
      </c>
      <c r="X57" s="133" t="e">
        <f aca="false">Funding!W82</f>
        <v>#VALUE!</v>
      </c>
      <c r="Y57" s="133" t="e">
        <f aca="false">Funding!X82</f>
        <v>#VALUE!</v>
      </c>
      <c r="Z57" s="133" t="e">
        <f aca="false">Funding!Y82</f>
        <v>#VALUE!</v>
      </c>
      <c r="AA57" s="133" t="e">
        <f aca="false">Funding!Z82</f>
        <v>#VALUE!</v>
      </c>
      <c r="AB57" s="133" t="e">
        <f aca="false">Funding!AA82</f>
        <v>#VALUE!</v>
      </c>
      <c r="AC57" s="133" t="e">
        <f aca="false">Funding!AB82</f>
        <v>#VALUE!</v>
      </c>
      <c r="AD57" s="133" t="e">
        <f aca="false">Funding!AC82</f>
        <v>#VALUE!</v>
      </c>
      <c r="AE57" s="133" t="e">
        <f aca="false">Funding!AD82</f>
        <v>#VALUE!</v>
      </c>
      <c r="AF57" s="133" t="e">
        <f aca="false">Funding!AE82</f>
        <v>#VALUE!</v>
      </c>
      <c r="AG57" s="133" t="e">
        <f aca="false">Funding!AF82</f>
        <v>#VALUE!</v>
      </c>
      <c r="AH57" s="133" t="e">
        <f aca="false">Funding!AG82</f>
        <v>#VALUE!</v>
      </c>
      <c r="AI57" s="133" t="e">
        <f aca="false">Funding!AH82</f>
        <v>#VALUE!</v>
      </c>
      <c r="AJ57" s="133" t="e">
        <f aca="false">Funding!AI82</f>
        <v>#VALUE!</v>
      </c>
      <c r="AK57" s="133" t="e">
        <f aca="false">Funding!AJ82</f>
        <v>#VALUE!</v>
      </c>
      <c r="AL57" s="133" t="e">
        <f aca="false">Funding!AK82</f>
        <v>#VALUE!</v>
      </c>
    </row>
    <row r="58" customFormat="false" ht="15" hidden="false" customHeight="false" outlineLevel="0" collapsed="false">
      <c r="C58" s="0" t="s">
        <v>177</v>
      </c>
      <c r="E58" s="104" t="s">
        <v>72</v>
      </c>
      <c r="H58" s="0"/>
      <c r="I58" s="133" t="n">
        <f aca="false">Funding!H145</f>
        <v>0</v>
      </c>
      <c r="J58" s="133" t="e">
        <f aca="false">Funding!I145</f>
        <v>#VALUE!</v>
      </c>
      <c r="K58" s="133" t="e">
        <f aca="false">Funding!J145</f>
        <v>#VALUE!</v>
      </c>
      <c r="L58" s="133" t="e">
        <f aca="false">Funding!K145</f>
        <v>#VALUE!</v>
      </c>
      <c r="M58" s="133" t="e">
        <f aca="false">Funding!L145</f>
        <v>#VALUE!</v>
      </c>
      <c r="N58" s="133" t="e">
        <f aca="false">Funding!M145</f>
        <v>#VALUE!</v>
      </c>
      <c r="O58" s="133" t="e">
        <f aca="false">Funding!N145</f>
        <v>#VALUE!</v>
      </c>
      <c r="P58" s="133" t="e">
        <f aca="false">Funding!O145</f>
        <v>#VALUE!</v>
      </c>
      <c r="Q58" s="133" t="e">
        <f aca="false">Funding!P145</f>
        <v>#VALUE!</v>
      </c>
      <c r="R58" s="133" t="e">
        <f aca="false">Funding!Q145</f>
        <v>#VALUE!</v>
      </c>
      <c r="S58" s="133" t="e">
        <f aca="false">Funding!R145</f>
        <v>#VALUE!</v>
      </c>
      <c r="T58" s="133" t="e">
        <f aca="false">Funding!S145</f>
        <v>#VALUE!</v>
      </c>
      <c r="U58" s="133" t="e">
        <f aca="false">Funding!T145</f>
        <v>#VALUE!</v>
      </c>
      <c r="V58" s="133" t="e">
        <f aca="false">Funding!U145</f>
        <v>#VALUE!</v>
      </c>
      <c r="W58" s="133" t="e">
        <f aca="false">Funding!V145</f>
        <v>#VALUE!</v>
      </c>
      <c r="X58" s="133" t="e">
        <f aca="false">Funding!W145</f>
        <v>#VALUE!</v>
      </c>
      <c r="Y58" s="133" t="e">
        <f aca="false">Funding!X145</f>
        <v>#VALUE!</v>
      </c>
      <c r="Z58" s="133" t="e">
        <f aca="false">Funding!Y145</f>
        <v>#VALUE!</v>
      </c>
      <c r="AA58" s="133" t="e">
        <f aca="false">Funding!Z145</f>
        <v>#VALUE!</v>
      </c>
      <c r="AB58" s="133" t="e">
        <f aca="false">Funding!AA145</f>
        <v>#VALUE!</v>
      </c>
      <c r="AC58" s="133" t="e">
        <f aca="false">Funding!AB145</f>
        <v>#VALUE!</v>
      </c>
      <c r="AD58" s="133" t="e">
        <f aca="false">Funding!AC145</f>
        <v>#VALUE!</v>
      </c>
      <c r="AE58" s="133" t="e">
        <f aca="false">Funding!AD145</f>
        <v>#VALUE!</v>
      </c>
      <c r="AF58" s="133" t="e">
        <f aca="false">Funding!AE145</f>
        <v>#VALUE!</v>
      </c>
      <c r="AG58" s="133" t="e">
        <f aca="false">Funding!AF145</f>
        <v>#VALUE!</v>
      </c>
      <c r="AH58" s="133" t="e">
        <f aca="false">Funding!AG145</f>
        <v>#VALUE!</v>
      </c>
      <c r="AI58" s="133" t="e">
        <f aca="false">Funding!AH145</f>
        <v>#VALUE!</v>
      </c>
      <c r="AJ58" s="133" t="e">
        <f aca="false">Funding!AI145</f>
        <v>#VALUE!</v>
      </c>
      <c r="AK58" s="133" t="e">
        <f aca="false">Funding!AJ145</f>
        <v>#VALUE!</v>
      </c>
      <c r="AL58" s="133" t="e">
        <f aca="false">Funding!AK145</f>
        <v>#VALUE!</v>
      </c>
    </row>
    <row r="59" customFormat="false" ht="15" hidden="false" customHeight="false" outlineLevel="0" collapsed="false">
      <c r="C59" s="117" t="s">
        <v>441</v>
      </c>
      <c r="D59" s="117"/>
      <c r="E59" s="118" t="s">
        <v>72</v>
      </c>
      <c r="F59" s="117"/>
      <c r="G59" s="117"/>
      <c r="H59" s="119"/>
      <c r="I59" s="123" t="n">
        <f aca="false">SUM(I57:I58)</f>
        <v>0</v>
      </c>
      <c r="J59" s="123" t="e">
        <f aca="false">SUM(J57:J58)</f>
        <v>#VALUE!</v>
      </c>
      <c r="K59" s="123" t="e">
        <f aca="false">SUM(K57:K58)</f>
        <v>#VALUE!</v>
      </c>
      <c r="L59" s="123" t="e">
        <f aca="false">SUM(L57:L58)</f>
        <v>#VALUE!</v>
      </c>
      <c r="M59" s="123" t="e">
        <f aca="false">SUM(M57:M58)</f>
        <v>#VALUE!</v>
      </c>
      <c r="N59" s="123" t="e">
        <f aca="false">SUM(N57:N58)</f>
        <v>#VALUE!</v>
      </c>
      <c r="O59" s="123" t="e">
        <f aca="false">SUM(O57:O58)</f>
        <v>#VALUE!</v>
      </c>
      <c r="P59" s="123" t="e">
        <f aca="false">SUM(P57:P58)</f>
        <v>#VALUE!</v>
      </c>
      <c r="Q59" s="123" t="e">
        <f aca="false">SUM(Q57:Q58)</f>
        <v>#VALUE!</v>
      </c>
      <c r="R59" s="123" t="e">
        <f aca="false">SUM(R57:R58)</f>
        <v>#VALUE!</v>
      </c>
      <c r="S59" s="123" t="e">
        <f aca="false">SUM(S57:S58)</f>
        <v>#VALUE!</v>
      </c>
      <c r="T59" s="123" t="e">
        <f aca="false">SUM(T57:T58)</f>
        <v>#VALUE!</v>
      </c>
      <c r="U59" s="123" t="e">
        <f aca="false">SUM(U57:U58)</f>
        <v>#VALUE!</v>
      </c>
      <c r="V59" s="123" t="e">
        <f aca="false">SUM(V57:V58)</f>
        <v>#VALUE!</v>
      </c>
      <c r="W59" s="123" t="e">
        <f aca="false">SUM(W57:W58)</f>
        <v>#VALUE!</v>
      </c>
      <c r="X59" s="123" t="e">
        <f aca="false">SUM(X57:X58)</f>
        <v>#VALUE!</v>
      </c>
      <c r="Y59" s="123" t="e">
        <f aca="false">SUM(Y57:Y58)</f>
        <v>#VALUE!</v>
      </c>
      <c r="Z59" s="123" t="e">
        <f aca="false">SUM(Z57:Z58)</f>
        <v>#VALUE!</v>
      </c>
      <c r="AA59" s="123" t="e">
        <f aca="false">SUM(AA57:AA58)</f>
        <v>#VALUE!</v>
      </c>
      <c r="AB59" s="123" t="e">
        <f aca="false">SUM(AB57:AB58)</f>
        <v>#VALUE!</v>
      </c>
      <c r="AC59" s="123" t="e">
        <f aca="false">SUM(AC57:AC58)</f>
        <v>#VALUE!</v>
      </c>
      <c r="AD59" s="123" t="e">
        <f aca="false">SUM(AD57:AD58)</f>
        <v>#VALUE!</v>
      </c>
      <c r="AE59" s="123" t="e">
        <f aca="false">SUM(AE57:AE58)</f>
        <v>#VALUE!</v>
      </c>
      <c r="AF59" s="123" t="e">
        <f aca="false">SUM(AF57:AF58)</f>
        <v>#VALUE!</v>
      </c>
      <c r="AG59" s="123" t="e">
        <f aca="false">SUM(AG57:AG58)</f>
        <v>#VALUE!</v>
      </c>
      <c r="AH59" s="123" t="e">
        <f aca="false">SUM(AH57:AH58)</f>
        <v>#VALUE!</v>
      </c>
      <c r="AI59" s="123" t="e">
        <f aca="false">SUM(AI57:AI58)</f>
        <v>#VALUE!</v>
      </c>
      <c r="AJ59" s="123" t="e">
        <f aca="false">SUM(AJ57:AJ58)</f>
        <v>#VALUE!</v>
      </c>
      <c r="AK59" s="123" t="e">
        <f aca="false">SUM(AK57:AK58)</f>
        <v>#VALUE!</v>
      </c>
      <c r="AL59" s="123" t="e">
        <f aca="false">SUM(AL57:AL58)</f>
        <v>#VALUE!</v>
      </c>
    </row>
    <row r="60" customFormat="false" ht="15" hidden="false" customHeight="false" outlineLevel="0" collapsed="false">
      <c r="E60" s="0"/>
      <c r="H60" s="0"/>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row>
    <row r="61" customFormat="false" ht="15" hidden="false" customHeight="false" outlineLevel="0" collapsed="false">
      <c r="C61" s="0" t="s">
        <v>442</v>
      </c>
      <c r="E61" s="104" t="s">
        <v>34</v>
      </c>
      <c r="H61" s="0"/>
      <c r="I61" s="191" t="n">
        <f aca="false">IFERROR(I57/I59,0)</f>
        <v>0</v>
      </c>
      <c r="J61" s="191" t="n">
        <f aca="false">IFERROR(J57/J59,0)</f>
        <v>0</v>
      </c>
      <c r="K61" s="191" t="n">
        <f aca="false">IFERROR(K57/K59,0)</f>
        <v>0</v>
      </c>
      <c r="L61" s="191" t="n">
        <f aca="false">IFERROR(L57/L59,0)</f>
        <v>0</v>
      </c>
      <c r="M61" s="191" t="n">
        <f aca="false">IFERROR(M57/M59,0)</f>
        <v>0</v>
      </c>
      <c r="N61" s="191" t="n">
        <f aca="false">IFERROR(N57/N59,0)</f>
        <v>0</v>
      </c>
      <c r="O61" s="191" t="n">
        <f aca="false">IFERROR(O57/O59,0)</f>
        <v>0</v>
      </c>
      <c r="P61" s="191" t="n">
        <f aca="false">IFERROR(P57/P59,0)</f>
        <v>0</v>
      </c>
      <c r="Q61" s="191" t="n">
        <f aca="false">IFERROR(Q57/Q59,0)</f>
        <v>0</v>
      </c>
      <c r="R61" s="191" t="n">
        <f aca="false">IFERROR(R57/R59,0)</f>
        <v>0</v>
      </c>
      <c r="S61" s="191" t="n">
        <f aca="false">IFERROR(S57/S59,0)</f>
        <v>0</v>
      </c>
      <c r="T61" s="191" t="n">
        <f aca="false">IFERROR(T57/T59,0)</f>
        <v>0</v>
      </c>
      <c r="U61" s="191" t="n">
        <f aca="false">IFERROR(U57/U59,0)</f>
        <v>0</v>
      </c>
      <c r="V61" s="191" t="n">
        <f aca="false">IFERROR(V57/V59,0)</f>
        <v>0</v>
      </c>
      <c r="W61" s="191" t="n">
        <f aca="false">IFERROR(W57/W59,0)</f>
        <v>0</v>
      </c>
      <c r="X61" s="191" t="n">
        <f aca="false">IFERROR(X57/X59,0)</f>
        <v>0</v>
      </c>
      <c r="Y61" s="191" t="n">
        <f aca="false">IFERROR(Y57/Y59,0)</f>
        <v>0</v>
      </c>
      <c r="Z61" s="191" t="n">
        <f aca="false">IFERROR(Z57/Z59,0)</f>
        <v>0</v>
      </c>
      <c r="AA61" s="191" t="n">
        <f aca="false">IFERROR(AA57/AA59,0)</f>
        <v>0</v>
      </c>
      <c r="AB61" s="191" t="n">
        <f aca="false">IFERROR(AB57/AB59,0)</f>
        <v>0</v>
      </c>
      <c r="AC61" s="191" t="n">
        <f aca="false">IFERROR(AC57/AC59,0)</f>
        <v>0</v>
      </c>
      <c r="AD61" s="191" t="n">
        <f aca="false">IFERROR(AD57/AD59,0)</f>
        <v>0</v>
      </c>
      <c r="AE61" s="191" t="n">
        <f aca="false">IFERROR(AE57/AE59,0)</f>
        <v>0</v>
      </c>
      <c r="AF61" s="191" t="n">
        <f aca="false">IFERROR(AF57/AF59,0)</f>
        <v>0</v>
      </c>
      <c r="AG61" s="191" t="n">
        <f aca="false">IFERROR(AG57/AG59,0)</f>
        <v>0</v>
      </c>
      <c r="AH61" s="191" t="n">
        <f aca="false">IFERROR(AH57/AH59,0)</f>
        <v>0</v>
      </c>
      <c r="AI61" s="191" t="n">
        <f aca="false">IFERROR(AI57/AI59,0)</f>
        <v>0</v>
      </c>
      <c r="AJ61" s="191" t="n">
        <f aca="false">IFERROR(AJ57/AJ59,0)</f>
        <v>0</v>
      </c>
      <c r="AK61" s="191" t="n">
        <f aca="false">IFERROR(AK57/AK59,0)</f>
        <v>0</v>
      </c>
      <c r="AL61" s="191" t="n">
        <f aca="false">IFERROR(AL57/AL59,0)</f>
        <v>0</v>
      </c>
    </row>
    <row r="62" customFormat="false" ht="15" hidden="false" customHeight="false" outlineLevel="0" collapsed="false">
      <c r="C62" s="0" t="s">
        <v>443</v>
      </c>
      <c r="E62" s="104" t="s">
        <v>34</v>
      </c>
      <c r="H62" s="0"/>
      <c r="I62" s="191" t="n">
        <f aca="false">IFERROR(I58/I59,0)</f>
        <v>0</v>
      </c>
      <c r="J62" s="191" t="n">
        <f aca="false">IFERROR(J58/J59,0)</f>
        <v>0</v>
      </c>
      <c r="K62" s="191" t="n">
        <f aca="false">IFERROR(K58/K59,0)</f>
        <v>0</v>
      </c>
      <c r="L62" s="191" t="n">
        <f aca="false">IFERROR(L58/L59,0)</f>
        <v>0</v>
      </c>
      <c r="M62" s="191" t="n">
        <f aca="false">IFERROR(M58/M59,0)</f>
        <v>0</v>
      </c>
      <c r="N62" s="191" t="n">
        <f aca="false">IFERROR(N58/N59,0)</f>
        <v>0</v>
      </c>
      <c r="O62" s="191" t="n">
        <f aca="false">IFERROR(O58/O59,0)</f>
        <v>0</v>
      </c>
      <c r="P62" s="191" t="n">
        <f aca="false">IFERROR(P58/P59,0)</f>
        <v>0</v>
      </c>
      <c r="Q62" s="191" t="n">
        <f aca="false">IFERROR(Q58/Q59,0)</f>
        <v>0</v>
      </c>
      <c r="R62" s="191" t="n">
        <f aca="false">IFERROR(R58/R59,0)</f>
        <v>0</v>
      </c>
      <c r="S62" s="191" t="n">
        <f aca="false">IFERROR(S58/S59,0)</f>
        <v>0</v>
      </c>
      <c r="T62" s="191" t="n">
        <f aca="false">IFERROR(T58/T59,0)</f>
        <v>0</v>
      </c>
      <c r="U62" s="191" t="n">
        <f aca="false">IFERROR(U58/U59,0)</f>
        <v>0</v>
      </c>
      <c r="V62" s="191" t="n">
        <f aca="false">IFERROR(V58/V59,0)</f>
        <v>0</v>
      </c>
      <c r="W62" s="191" t="n">
        <f aca="false">IFERROR(W58/W59,0)</f>
        <v>0</v>
      </c>
      <c r="X62" s="191" t="n">
        <f aca="false">IFERROR(X58/X59,0)</f>
        <v>0</v>
      </c>
      <c r="Y62" s="191" t="n">
        <f aca="false">IFERROR(Y58/Y59,0)</f>
        <v>0</v>
      </c>
      <c r="Z62" s="191" t="n">
        <f aca="false">IFERROR(Z58/Z59,0)</f>
        <v>0</v>
      </c>
      <c r="AA62" s="191" t="n">
        <f aca="false">IFERROR(AA58/AA59,0)</f>
        <v>0</v>
      </c>
      <c r="AB62" s="191" t="n">
        <f aca="false">IFERROR(AB58/AB59,0)</f>
        <v>0</v>
      </c>
      <c r="AC62" s="191" t="n">
        <f aca="false">IFERROR(AC58/AC59,0)</f>
        <v>0</v>
      </c>
      <c r="AD62" s="191" t="n">
        <f aca="false">IFERROR(AD58/AD59,0)</f>
        <v>0</v>
      </c>
      <c r="AE62" s="191" t="n">
        <f aca="false">IFERROR(AE58/AE59,0)</f>
        <v>0</v>
      </c>
      <c r="AF62" s="191" t="n">
        <f aca="false">IFERROR(AF58/AF59,0)</f>
        <v>0</v>
      </c>
      <c r="AG62" s="191" t="n">
        <f aca="false">IFERROR(AG58/AG59,0)</f>
        <v>0</v>
      </c>
      <c r="AH62" s="191" t="n">
        <f aca="false">IFERROR(AH58/AH59,0)</f>
        <v>0</v>
      </c>
      <c r="AI62" s="191" t="n">
        <f aca="false">IFERROR(AI58/AI59,0)</f>
        <v>0</v>
      </c>
      <c r="AJ62" s="191" t="n">
        <f aca="false">IFERROR(AJ58/AJ59,0)</f>
        <v>0</v>
      </c>
      <c r="AK62" s="191" t="n">
        <f aca="false">IFERROR(AK58/AK59,0)</f>
        <v>0</v>
      </c>
      <c r="AL62" s="191" t="n">
        <f aca="false">IFERROR(AL58/AL59,0)</f>
        <v>0</v>
      </c>
    </row>
    <row r="63" customFormat="false" ht="15" hidden="false" customHeight="false" outlineLevel="0" collapsed="false">
      <c r="E63" s="0"/>
      <c r="H63" s="0"/>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row>
    <row r="64" customFormat="false" ht="15" hidden="false" customHeight="false" outlineLevel="0" collapsed="false">
      <c r="C64" s="154" t="s">
        <v>444</v>
      </c>
      <c r="D64" s="154"/>
      <c r="E64" s="155" t="s">
        <v>72</v>
      </c>
      <c r="F64" s="154"/>
      <c r="G64" s="154"/>
      <c r="H64" s="154"/>
      <c r="I64" s="133" t="n">
        <f aca="false">IF(Thin_cap_rule="yes",IFERROR(IPMT(I61*Bank_Rate+I62*Equity_Loan_Rate,I10,Bank_Tenor,I55),0),'Cash Flow'!I32)</f>
        <v>0</v>
      </c>
      <c r="J64" s="122" t="e">
        <f aca="false">IF(Thin_cap_rule="yes",IFERROR(IPMT(J61*Bank_Rate+J62*Equity_Loan_Rate,J10,Bank_Tenor,J55),0),'Cash Flow'!J32)</f>
        <v>#VALUE!</v>
      </c>
      <c r="K64" s="122" t="e">
        <f aca="false">IF(Thin_cap_rule="yes",IFERROR(IPMT(K61*Bank_Rate+K62*Equity_Loan_Rate,K10,Bank_Tenor,K55),0),'Cash Flow'!K32)</f>
        <v>#VALUE!</v>
      </c>
      <c r="L64" s="122" t="e">
        <f aca="false">IF(Thin_cap_rule="yes",IFERROR(IPMT(L61*Bank_Rate+L62*Equity_Loan_Rate,L10,Bank_Tenor,L55),0),'Cash Flow'!L32)</f>
        <v>#VALUE!</v>
      </c>
      <c r="M64" s="122" t="e">
        <f aca="false">IF(Thin_cap_rule="yes",IFERROR(IPMT(M61*Bank_Rate+M62*Equity_Loan_Rate,M10,Bank_Tenor,M55),0),'Cash Flow'!M32)</f>
        <v>#VALUE!</v>
      </c>
      <c r="N64" s="122" t="e">
        <f aca="false">IF(Thin_cap_rule="yes",IFERROR(IPMT(N61*Bank_Rate+N62*Equity_Loan_Rate,N10,Bank_Tenor,N55),0),'Cash Flow'!N32)</f>
        <v>#VALUE!</v>
      </c>
      <c r="O64" s="122" t="e">
        <f aca="false">IF(Thin_cap_rule="yes",IFERROR(IPMT(O61*Bank_Rate+O62*Equity_Loan_Rate,O10,Bank_Tenor,O55),0),'Cash Flow'!O32)</f>
        <v>#VALUE!</v>
      </c>
      <c r="P64" s="122" t="e">
        <f aca="false">IF(Thin_cap_rule="yes",IFERROR(IPMT(P61*Bank_Rate+P62*Equity_Loan_Rate,P10,Bank_Tenor,P55),0),'Cash Flow'!P32)</f>
        <v>#VALUE!</v>
      </c>
      <c r="Q64" s="122" t="e">
        <f aca="false">IF(Thin_cap_rule="yes",IFERROR(IPMT(Q61*Bank_Rate+Q62*Equity_Loan_Rate,Q10,Bank_Tenor,Q55),0),'Cash Flow'!Q32)</f>
        <v>#VALUE!</v>
      </c>
      <c r="R64" s="122" t="e">
        <f aca="false">IF(Thin_cap_rule="yes",IFERROR(IPMT(R61*Bank_Rate+R62*Equity_Loan_Rate,R10,Bank_Tenor,R55),0),'Cash Flow'!R32)</f>
        <v>#VALUE!</v>
      </c>
      <c r="S64" s="122" t="e">
        <f aca="false">IF(Thin_cap_rule="yes",IFERROR(IPMT(S61*Bank_Rate+S62*Equity_Loan_Rate,S10,Bank_Tenor,S55),0),'Cash Flow'!S32)</f>
        <v>#VALUE!</v>
      </c>
      <c r="T64" s="122" t="e">
        <f aca="false">IF(Thin_cap_rule="yes",IFERROR(IPMT(T61*Bank_Rate+T62*Equity_Loan_Rate,T10,Bank_Tenor,T55),0),'Cash Flow'!T32)</f>
        <v>#VALUE!</v>
      </c>
      <c r="U64" s="122" t="e">
        <f aca="false">IF(Thin_cap_rule="yes",IFERROR(IPMT(U61*Bank_Rate+U62*Equity_Loan_Rate,U10,Bank_Tenor,U55),0),'Cash Flow'!U32)</f>
        <v>#VALUE!</v>
      </c>
      <c r="V64" s="122" t="e">
        <f aca="false">IF(Thin_cap_rule="yes",IFERROR(IPMT(V61*Bank_Rate+V62*Equity_Loan_Rate,V10,Bank_Tenor,V55),0),'Cash Flow'!V32)</f>
        <v>#VALUE!</v>
      </c>
      <c r="W64" s="122" t="e">
        <f aca="false">IF(Thin_cap_rule="yes",IFERROR(IPMT(W61*Bank_Rate+W62*Equity_Loan_Rate,W10,Bank_Tenor,W55),0),'Cash Flow'!W32)</f>
        <v>#VALUE!</v>
      </c>
      <c r="X64" s="122" t="e">
        <f aca="false">IF(Thin_cap_rule="yes",IFERROR(IPMT(X61*Bank_Rate+X62*Equity_Loan_Rate,X10,Bank_Tenor,X55),0),'Cash Flow'!X32)</f>
        <v>#VALUE!</v>
      </c>
      <c r="Y64" s="122" t="e">
        <f aca="false">IF(Thin_cap_rule="yes",IFERROR(IPMT(Y61*Bank_Rate+Y62*Equity_Loan_Rate,Y10,Bank_Tenor,Y55),0),'Cash Flow'!Y32)</f>
        <v>#VALUE!</v>
      </c>
      <c r="Z64" s="122" t="e">
        <f aca="false">IF(Thin_cap_rule="yes",IFERROR(IPMT(Z61*Bank_Rate+Z62*Equity_Loan_Rate,Z10,Bank_Tenor,Z55),0),'Cash Flow'!Z32)</f>
        <v>#VALUE!</v>
      </c>
      <c r="AA64" s="122" t="e">
        <f aca="false">IF(Thin_cap_rule="yes",IFERROR(IPMT(AA61*Bank_Rate+AA62*Equity_Loan_Rate,AA10,Bank_Tenor,AA55),0),'Cash Flow'!AA32)</f>
        <v>#VALUE!</v>
      </c>
      <c r="AB64" s="122" t="e">
        <f aca="false">IF(Thin_cap_rule="yes",IFERROR(IPMT(AB61*Bank_Rate+AB62*Equity_Loan_Rate,AB10,Bank_Tenor,AB55),0),'Cash Flow'!AB32)</f>
        <v>#VALUE!</v>
      </c>
      <c r="AC64" s="122" t="e">
        <f aca="false">IF(Thin_cap_rule="yes",IFERROR(IPMT(AC61*Bank_Rate+AC62*Equity_Loan_Rate,AC10,Bank_Tenor,AC55),0),'Cash Flow'!AC32)</f>
        <v>#VALUE!</v>
      </c>
      <c r="AD64" s="122" t="e">
        <f aca="false">IF(Thin_cap_rule="yes",IFERROR(IPMT(AD61*Bank_Rate+AD62*Equity_Loan_Rate,AD10,Bank_Tenor,AD55),0),'Cash Flow'!AD32)</f>
        <v>#VALUE!</v>
      </c>
      <c r="AE64" s="122" t="e">
        <f aca="false">IF(Thin_cap_rule="yes",IFERROR(IPMT(AE61*Bank_Rate+AE62*Equity_Loan_Rate,AE10,Bank_Tenor,AE55),0),'Cash Flow'!AE32)</f>
        <v>#VALUE!</v>
      </c>
      <c r="AF64" s="122" t="e">
        <f aca="false">IF(Thin_cap_rule="yes",IFERROR(IPMT(AF61*Bank_Rate+AF62*Equity_Loan_Rate,AF10,Bank_Tenor,AF55),0),'Cash Flow'!AF32)</f>
        <v>#VALUE!</v>
      </c>
      <c r="AG64" s="122" t="e">
        <f aca="false">IF(Thin_cap_rule="yes",IFERROR(IPMT(AG61*Bank_Rate+AG62*Equity_Loan_Rate,AG10,Bank_Tenor,AG55),0),'Cash Flow'!AG32)</f>
        <v>#VALUE!</v>
      </c>
      <c r="AH64" s="122" t="e">
        <f aca="false">IF(Thin_cap_rule="yes",IFERROR(IPMT(AH61*Bank_Rate+AH62*Equity_Loan_Rate,AH10,Bank_Tenor,AH55),0),'Cash Flow'!AH32)</f>
        <v>#VALUE!</v>
      </c>
      <c r="AI64" s="122" t="e">
        <f aca="false">IF(Thin_cap_rule="yes",IFERROR(IPMT(AI61*Bank_Rate+AI62*Equity_Loan_Rate,AI10,Bank_Tenor,AI55),0),'Cash Flow'!AI32)</f>
        <v>#VALUE!</v>
      </c>
      <c r="AJ64" s="122" t="e">
        <f aca="false">IF(Thin_cap_rule="yes",IFERROR(IPMT(AJ61*Bank_Rate+AJ62*Equity_Loan_Rate,AJ10,Bank_Tenor,AJ55),0),'Cash Flow'!AJ32)</f>
        <v>#VALUE!</v>
      </c>
      <c r="AK64" s="122" t="e">
        <f aca="false">IF(Thin_cap_rule="yes",IFERROR(IPMT(AK61*Bank_Rate+AK62*Equity_Loan_Rate,AK10,Bank_Tenor,AK55),0),'Cash Flow'!AK32)</f>
        <v>#VALUE!</v>
      </c>
      <c r="AL64" s="122" t="e">
        <f aca="false">IF(Thin_cap_rule="yes",IFERROR(IPMT(AL61*Bank_Rate+AL62*Equity_Loan_Rate,AL10,Bank_Tenor,AL55),0),'Cash Flow'!AL32)</f>
        <v>#VALUE!</v>
      </c>
    </row>
    <row r="65" customFormat="false" ht="15" hidden="false" customHeight="false" outlineLevel="0" collapsed="false">
      <c r="C65" s="154"/>
      <c r="D65" s="154"/>
      <c r="E65" s="155"/>
      <c r="F65" s="154"/>
      <c r="G65" s="154"/>
      <c r="H65" s="154"/>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row>
    <row r="66" customFormat="false" ht="15" hidden="false" customHeight="false" outlineLevel="0" collapsed="false">
      <c r="B66" s="2" t="n">
        <f aca="false">(MAX($A$7:B65)+0.1)</f>
        <v>2.2</v>
      </c>
      <c r="C66" s="2" t="s">
        <v>445</v>
      </c>
      <c r="D66" s="154"/>
      <c r="E66" s="155"/>
      <c r="F66" s="154"/>
      <c r="G66" s="154"/>
      <c r="H66" s="154"/>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row>
    <row r="67" customFormat="false" ht="15" hidden="false" customHeight="false" outlineLevel="0" collapsed="false">
      <c r="B67" s="2"/>
      <c r="C67" s="6" t="str">
        <f aca="false">'Cash Flow'!C38</f>
        <v>Nominal Profit Before Tax for income tax calc</v>
      </c>
      <c r="D67" s="154"/>
      <c r="E67" s="155" t="s">
        <v>72</v>
      </c>
      <c r="F67" s="154"/>
      <c r="G67" s="154"/>
      <c r="H67" s="154"/>
      <c r="I67" s="133" t="e">
        <f aca="false">'Cash Flow'!I38</f>
        <v>#VALUE!</v>
      </c>
      <c r="J67" s="133" t="e">
        <f aca="false">'Cash Flow'!J38</f>
        <v>#VALUE!</v>
      </c>
      <c r="K67" s="133" t="e">
        <f aca="false">'Cash Flow'!K38</f>
        <v>#VALUE!</v>
      </c>
      <c r="L67" s="133" t="e">
        <f aca="false">'Cash Flow'!L38</f>
        <v>#VALUE!</v>
      </c>
      <c r="M67" s="133" t="e">
        <f aca="false">'Cash Flow'!M38</f>
        <v>#VALUE!</v>
      </c>
      <c r="N67" s="133" t="e">
        <f aca="false">'Cash Flow'!N38</f>
        <v>#VALUE!</v>
      </c>
      <c r="O67" s="133" t="e">
        <f aca="false">'Cash Flow'!O38</f>
        <v>#VALUE!</v>
      </c>
      <c r="P67" s="133" t="e">
        <f aca="false">'Cash Flow'!P38</f>
        <v>#VALUE!</v>
      </c>
      <c r="Q67" s="133" t="e">
        <f aca="false">'Cash Flow'!Q38</f>
        <v>#VALUE!</v>
      </c>
      <c r="R67" s="133" t="e">
        <f aca="false">'Cash Flow'!R38</f>
        <v>#VALUE!</v>
      </c>
      <c r="S67" s="133" t="e">
        <f aca="false">'Cash Flow'!S38</f>
        <v>#VALUE!</v>
      </c>
      <c r="T67" s="133" t="e">
        <f aca="false">'Cash Flow'!T38</f>
        <v>#VALUE!</v>
      </c>
      <c r="U67" s="133" t="e">
        <f aca="false">'Cash Flow'!U38</f>
        <v>#VALUE!</v>
      </c>
      <c r="V67" s="133" t="e">
        <f aca="false">'Cash Flow'!V38</f>
        <v>#VALUE!</v>
      </c>
      <c r="W67" s="133" t="e">
        <f aca="false">'Cash Flow'!W38</f>
        <v>#VALUE!</v>
      </c>
      <c r="X67" s="133" t="e">
        <f aca="false">'Cash Flow'!X38</f>
        <v>#VALUE!</v>
      </c>
      <c r="Y67" s="133" t="e">
        <f aca="false">'Cash Flow'!Y38</f>
        <v>#VALUE!</v>
      </c>
      <c r="Z67" s="133" t="e">
        <f aca="false">'Cash Flow'!Z38</f>
        <v>#VALUE!</v>
      </c>
      <c r="AA67" s="133" t="e">
        <f aca="false">'Cash Flow'!AA38</f>
        <v>#VALUE!</v>
      </c>
      <c r="AB67" s="133" t="e">
        <f aca="false">'Cash Flow'!AB38</f>
        <v>#VALUE!</v>
      </c>
      <c r="AC67" s="133" t="e">
        <f aca="false">'Cash Flow'!AC38</f>
        <v>#VALUE!</v>
      </c>
      <c r="AD67" s="133" t="e">
        <f aca="false">'Cash Flow'!AD38</f>
        <v>#VALUE!</v>
      </c>
      <c r="AE67" s="133" t="e">
        <f aca="false">'Cash Flow'!AE38</f>
        <v>#VALUE!</v>
      </c>
      <c r="AF67" s="133" t="e">
        <f aca="false">'Cash Flow'!AF38</f>
        <v>#VALUE!</v>
      </c>
      <c r="AG67" s="133" t="e">
        <f aca="false">'Cash Flow'!AG38</f>
        <v>#VALUE!</v>
      </c>
      <c r="AH67" s="133" t="e">
        <f aca="false">'Cash Flow'!AH38</f>
        <v>#VALUE!</v>
      </c>
      <c r="AI67" s="133" t="e">
        <f aca="false">'Cash Flow'!AI38</f>
        <v>#VALUE!</v>
      </c>
      <c r="AJ67" s="133" t="e">
        <f aca="false">'Cash Flow'!AJ38</f>
        <v>#VALUE!</v>
      </c>
      <c r="AK67" s="133" t="e">
        <f aca="false">'Cash Flow'!AK38</f>
        <v>#VALUE!</v>
      </c>
      <c r="AL67" s="133" t="e">
        <f aca="false">'Cash Flow'!AL38</f>
        <v>#VALUE!</v>
      </c>
    </row>
    <row r="68" customFormat="false" ht="15" hidden="false" customHeight="false" outlineLevel="0" collapsed="false">
      <c r="B68" s="2"/>
      <c r="C68" s="6"/>
      <c r="D68" s="154"/>
      <c r="E68" s="155"/>
      <c r="F68" s="154"/>
      <c r="G68" s="154"/>
      <c r="H68" s="154"/>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row>
    <row r="69" customFormat="false" ht="15" hidden="false" customHeight="false" outlineLevel="0" collapsed="false">
      <c r="B69" s="2"/>
      <c r="C69" s="6" t="s">
        <v>388</v>
      </c>
      <c r="D69" s="154"/>
      <c r="E69" s="155" t="s">
        <v>72</v>
      </c>
      <c r="F69" s="154"/>
      <c r="G69" s="154"/>
      <c r="H69" s="154"/>
      <c r="I69" s="133" t="n">
        <f aca="false">H73</f>
        <v>0</v>
      </c>
      <c r="J69" s="133" t="e">
        <f aca="false">I73</f>
        <v>#VALUE!</v>
      </c>
      <c r="K69" s="133" t="e">
        <f aca="false">J73</f>
        <v>#VALUE!</v>
      </c>
      <c r="L69" s="133" t="e">
        <f aca="false">K73</f>
        <v>#VALUE!</v>
      </c>
      <c r="M69" s="133" t="e">
        <f aca="false">L73</f>
        <v>#VALUE!</v>
      </c>
      <c r="N69" s="133" t="e">
        <f aca="false">M73</f>
        <v>#VALUE!</v>
      </c>
      <c r="O69" s="133" t="e">
        <f aca="false">N73</f>
        <v>#VALUE!</v>
      </c>
      <c r="P69" s="133" t="e">
        <f aca="false">O73</f>
        <v>#VALUE!</v>
      </c>
      <c r="Q69" s="133" t="e">
        <f aca="false">P73</f>
        <v>#VALUE!</v>
      </c>
      <c r="R69" s="133" t="e">
        <f aca="false">Q73</f>
        <v>#VALUE!</v>
      </c>
      <c r="S69" s="133" t="e">
        <f aca="false">R73</f>
        <v>#VALUE!</v>
      </c>
      <c r="T69" s="133" t="e">
        <f aca="false">S73</f>
        <v>#VALUE!</v>
      </c>
      <c r="U69" s="133" t="e">
        <f aca="false">T73</f>
        <v>#VALUE!</v>
      </c>
      <c r="V69" s="133" t="e">
        <f aca="false">U73</f>
        <v>#VALUE!</v>
      </c>
      <c r="W69" s="133" t="e">
        <f aca="false">V73</f>
        <v>#VALUE!</v>
      </c>
      <c r="X69" s="133" t="e">
        <f aca="false">W73</f>
        <v>#VALUE!</v>
      </c>
      <c r="Y69" s="133" t="e">
        <f aca="false">X73</f>
        <v>#VALUE!</v>
      </c>
      <c r="Z69" s="133" t="e">
        <f aca="false">Y73</f>
        <v>#VALUE!</v>
      </c>
      <c r="AA69" s="133" t="e">
        <f aca="false">Z73</f>
        <v>#VALUE!</v>
      </c>
      <c r="AB69" s="133" t="e">
        <f aca="false">AA73</f>
        <v>#VALUE!</v>
      </c>
      <c r="AC69" s="133" t="e">
        <f aca="false">AB73</f>
        <v>#VALUE!</v>
      </c>
      <c r="AD69" s="133" t="e">
        <f aca="false">AC73</f>
        <v>#VALUE!</v>
      </c>
      <c r="AE69" s="133" t="e">
        <f aca="false">AD73</f>
        <v>#VALUE!</v>
      </c>
      <c r="AF69" s="133" t="e">
        <f aca="false">AE73</f>
        <v>#VALUE!</v>
      </c>
      <c r="AG69" s="133" t="e">
        <f aca="false">AF73</f>
        <v>#VALUE!</v>
      </c>
      <c r="AH69" s="133" t="e">
        <f aca="false">AG73</f>
        <v>#VALUE!</v>
      </c>
      <c r="AI69" s="133" t="e">
        <f aca="false">AH73</f>
        <v>#VALUE!</v>
      </c>
      <c r="AJ69" s="133" t="e">
        <f aca="false">AI73</f>
        <v>#VALUE!</v>
      </c>
      <c r="AK69" s="133" t="e">
        <f aca="false">AJ73</f>
        <v>#VALUE!</v>
      </c>
      <c r="AL69" s="133" t="e">
        <f aca="false">AK73</f>
        <v>#VALUE!</v>
      </c>
    </row>
    <row r="70" customFormat="false" ht="15" hidden="false" customHeight="false" outlineLevel="0" collapsed="false">
      <c r="B70" s="2"/>
      <c r="C70" s="6" t="s">
        <v>446</v>
      </c>
      <c r="D70" s="154"/>
      <c r="E70" s="155" t="s">
        <v>72</v>
      </c>
      <c r="F70" s="154"/>
      <c r="G70" s="154"/>
      <c r="H70" s="154"/>
      <c r="I70" s="133" t="e">
        <f aca="false">-I67*(I67&lt;0)</f>
        <v>#VALUE!</v>
      </c>
      <c r="J70" s="133" t="e">
        <f aca="false">-J67*(J67&lt;0)</f>
        <v>#VALUE!</v>
      </c>
      <c r="K70" s="133" t="e">
        <f aca="false">-K67*(K67&lt;0)</f>
        <v>#VALUE!</v>
      </c>
      <c r="L70" s="133" t="e">
        <f aca="false">-L67*(L67&lt;0)</f>
        <v>#VALUE!</v>
      </c>
      <c r="M70" s="133" t="e">
        <f aca="false">-M67*(M67&lt;0)</f>
        <v>#VALUE!</v>
      </c>
      <c r="N70" s="133" t="e">
        <f aca="false">-N67*(N67&lt;0)</f>
        <v>#VALUE!</v>
      </c>
      <c r="O70" s="133" t="e">
        <f aca="false">-O67*(O67&lt;0)</f>
        <v>#VALUE!</v>
      </c>
      <c r="P70" s="133" t="e">
        <f aca="false">-P67*(P67&lt;0)</f>
        <v>#VALUE!</v>
      </c>
      <c r="Q70" s="133" t="e">
        <f aca="false">-Q67*(Q67&lt;0)</f>
        <v>#VALUE!</v>
      </c>
      <c r="R70" s="133" t="e">
        <f aca="false">-R67*(R67&lt;0)</f>
        <v>#VALUE!</v>
      </c>
      <c r="S70" s="133" t="e">
        <f aca="false">-S67*(S67&lt;0)</f>
        <v>#VALUE!</v>
      </c>
      <c r="T70" s="133" t="e">
        <f aca="false">-T67*(T67&lt;0)</f>
        <v>#VALUE!</v>
      </c>
      <c r="U70" s="133" t="e">
        <f aca="false">-U67*(U67&lt;0)</f>
        <v>#VALUE!</v>
      </c>
      <c r="V70" s="133" t="e">
        <f aca="false">-V67*(V67&lt;0)</f>
        <v>#VALUE!</v>
      </c>
      <c r="W70" s="133" t="e">
        <f aca="false">-W67*(W67&lt;0)</f>
        <v>#VALUE!</v>
      </c>
      <c r="X70" s="133" t="e">
        <f aca="false">-X67*(X67&lt;0)</f>
        <v>#VALUE!</v>
      </c>
      <c r="Y70" s="133" t="e">
        <f aca="false">-Y67*(Y67&lt;0)</f>
        <v>#VALUE!</v>
      </c>
      <c r="Z70" s="133" t="e">
        <f aca="false">-Z67*(Z67&lt;0)</f>
        <v>#VALUE!</v>
      </c>
      <c r="AA70" s="133" t="e">
        <f aca="false">-AA67*(AA67&lt;0)</f>
        <v>#VALUE!</v>
      </c>
      <c r="AB70" s="133" t="e">
        <f aca="false">-AB67*(AB67&lt;0)</f>
        <v>#VALUE!</v>
      </c>
      <c r="AC70" s="133" t="e">
        <f aca="false">-AC67*(AC67&lt;0)</f>
        <v>#VALUE!</v>
      </c>
      <c r="AD70" s="133" t="e">
        <f aca="false">-AD67*(AD67&lt;0)</f>
        <v>#VALUE!</v>
      </c>
      <c r="AE70" s="133" t="e">
        <f aca="false">-AE67*(AE67&lt;0)</f>
        <v>#VALUE!</v>
      </c>
      <c r="AF70" s="133" t="e">
        <f aca="false">-AF67*(AF67&lt;0)</f>
        <v>#VALUE!</v>
      </c>
      <c r="AG70" s="133" t="e">
        <f aca="false">-AG67*(AG67&lt;0)</f>
        <v>#VALUE!</v>
      </c>
      <c r="AH70" s="133" t="e">
        <f aca="false">-AH67*(AH67&lt;0)</f>
        <v>#VALUE!</v>
      </c>
      <c r="AI70" s="133" t="e">
        <f aca="false">-AI67*(AI67&lt;0)</f>
        <v>#VALUE!</v>
      </c>
      <c r="AJ70" s="133" t="e">
        <f aca="false">-AJ67*(AJ67&lt;0)</f>
        <v>#VALUE!</v>
      </c>
      <c r="AK70" s="133" t="e">
        <f aca="false">-AK67*(AK67&lt;0)</f>
        <v>#VALUE!</v>
      </c>
      <c r="AL70" s="133" t="e">
        <f aca="false">-AL67*(AL67&lt;0)</f>
        <v>#VALUE!</v>
      </c>
    </row>
    <row r="71" customFormat="false" ht="15" hidden="false" customHeight="false" outlineLevel="0" collapsed="false">
      <c r="B71" s="2"/>
      <c r="C71" s="6" t="s">
        <v>447</v>
      </c>
      <c r="D71" s="154"/>
      <c r="E71" s="155" t="s">
        <v>72</v>
      </c>
      <c r="F71" s="154"/>
      <c r="G71" s="154"/>
      <c r="H71" s="154"/>
      <c r="I71" s="133" t="e">
        <f aca="false">-MAX(MIN(I69,I67),0)</f>
        <v>#VALUE!</v>
      </c>
      <c r="J71" s="133" t="e">
        <f aca="false">-MAX(MIN(J69,J67),0)</f>
        <v>#VALUE!</v>
      </c>
      <c r="K71" s="133" t="e">
        <f aca="false">-MAX(MIN(K69,K67),0)</f>
        <v>#VALUE!</v>
      </c>
      <c r="L71" s="133" t="e">
        <f aca="false">-MAX(MIN(L69,L67),0)</f>
        <v>#VALUE!</v>
      </c>
      <c r="M71" s="133" t="e">
        <f aca="false">-MAX(MIN(M69,M67),0)</f>
        <v>#VALUE!</v>
      </c>
      <c r="N71" s="133" t="e">
        <f aca="false">-MAX(MIN(N69,N67),0)</f>
        <v>#VALUE!</v>
      </c>
      <c r="O71" s="133" t="e">
        <f aca="false">-MAX(MIN(O69,O67),0)</f>
        <v>#VALUE!</v>
      </c>
      <c r="P71" s="133" t="e">
        <f aca="false">-MAX(MIN(P69,P67),0)</f>
        <v>#VALUE!</v>
      </c>
      <c r="Q71" s="133" t="e">
        <f aca="false">-MAX(MIN(Q69,Q67),0)</f>
        <v>#VALUE!</v>
      </c>
      <c r="R71" s="133" t="e">
        <f aca="false">-MAX(MIN(R69,R67),0)</f>
        <v>#VALUE!</v>
      </c>
      <c r="S71" s="133" t="e">
        <f aca="false">-MAX(MIN(S69,S67),0)</f>
        <v>#VALUE!</v>
      </c>
      <c r="T71" s="133" t="e">
        <f aca="false">-MAX(MIN(T69,T67),0)</f>
        <v>#VALUE!</v>
      </c>
      <c r="U71" s="133" t="e">
        <f aca="false">-MAX(MIN(U69,U67),0)</f>
        <v>#VALUE!</v>
      </c>
      <c r="V71" s="133" t="e">
        <f aca="false">-MAX(MIN(V69,V67),0)</f>
        <v>#VALUE!</v>
      </c>
      <c r="W71" s="133" t="e">
        <f aca="false">-MAX(MIN(W69,W67),0)</f>
        <v>#VALUE!</v>
      </c>
      <c r="X71" s="133" t="e">
        <f aca="false">-MAX(MIN(X69,X67),0)</f>
        <v>#VALUE!</v>
      </c>
      <c r="Y71" s="133" t="e">
        <f aca="false">-MAX(MIN(Y69,Y67),0)</f>
        <v>#VALUE!</v>
      </c>
      <c r="Z71" s="133" t="e">
        <f aca="false">-MAX(MIN(Z69,Z67),0)</f>
        <v>#VALUE!</v>
      </c>
      <c r="AA71" s="133" t="e">
        <f aca="false">-MAX(MIN(AA69,AA67),0)</f>
        <v>#VALUE!</v>
      </c>
      <c r="AB71" s="133" t="e">
        <f aca="false">-MAX(MIN(AB69,AB67),0)</f>
        <v>#VALUE!</v>
      </c>
      <c r="AC71" s="133" t="e">
        <f aca="false">-MAX(MIN(AC69,AC67),0)</f>
        <v>#VALUE!</v>
      </c>
      <c r="AD71" s="133" t="e">
        <f aca="false">-MAX(MIN(AD69,AD67),0)</f>
        <v>#VALUE!</v>
      </c>
      <c r="AE71" s="133" t="e">
        <f aca="false">-MAX(MIN(AE69,AE67),0)</f>
        <v>#VALUE!</v>
      </c>
      <c r="AF71" s="133" t="e">
        <f aca="false">-MAX(MIN(AF69,AF67),0)</f>
        <v>#VALUE!</v>
      </c>
      <c r="AG71" s="133" t="e">
        <f aca="false">-MAX(MIN(AG69,AG67),0)</f>
        <v>#VALUE!</v>
      </c>
      <c r="AH71" s="133" t="e">
        <f aca="false">-MAX(MIN(AH69,AH67),0)</f>
        <v>#VALUE!</v>
      </c>
      <c r="AI71" s="133" t="e">
        <f aca="false">-MAX(MIN(AI69,AI67),0)</f>
        <v>#VALUE!</v>
      </c>
      <c r="AJ71" s="133" t="e">
        <f aca="false">-MAX(MIN(AJ69,AJ67),0)</f>
        <v>#VALUE!</v>
      </c>
      <c r="AK71" s="133" t="e">
        <f aca="false">-MAX(MIN(AK69,AK67),0)</f>
        <v>#VALUE!</v>
      </c>
      <c r="AL71" s="133" t="e">
        <f aca="false">-MAX(MIN(AL69,AL67),0)</f>
        <v>#VALUE!</v>
      </c>
    </row>
    <row r="72" customFormat="false" ht="15" hidden="false" customHeight="false" outlineLevel="0" collapsed="false">
      <c r="C72" s="154" t="s">
        <v>448</v>
      </c>
      <c r="D72" s="154"/>
      <c r="E72" s="155" t="s">
        <v>72</v>
      </c>
      <c r="F72" s="154"/>
      <c r="G72" s="154"/>
      <c r="H72" s="154"/>
      <c r="I72" s="192"/>
      <c r="J72" s="193"/>
      <c r="K72" s="193"/>
      <c r="L72" s="194"/>
      <c r="M72" s="133" t="e">
        <f aca="true">-OFFSET(M70,,-Tax_loss)*M7</f>
        <v>#VALUE!</v>
      </c>
      <c r="N72" s="133" t="e">
        <f aca="true">-OFFSET(N70,,-Tax_loss)*N7</f>
        <v>#VALUE!</v>
      </c>
      <c r="O72" s="133" t="e">
        <f aca="true">-OFFSET(O70,,-Tax_loss)*O7</f>
        <v>#VALUE!</v>
      </c>
      <c r="P72" s="133" t="e">
        <f aca="true">-OFFSET(P70,,-Tax_loss)*P7</f>
        <v>#VALUE!</v>
      </c>
      <c r="Q72" s="133" t="e">
        <f aca="true">-OFFSET(Q70,,-Tax_loss)*Q7</f>
        <v>#VALUE!</v>
      </c>
      <c r="R72" s="133" t="e">
        <f aca="true">-OFFSET(R70,,-Tax_loss)*R7</f>
        <v>#VALUE!</v>
      </c>
      <c r="S72" s="133" t="e">
        <f aca="true">-OFFSET(S70,,-Tax_loss)*S7</f>
        <v>#VALUE!</v>
      </c>
      <c r="T72" s="133" t="e">
        <f aca="true">-OFFSET(T70,,-Tax_loss)*T7</f>
        <v>#VALUE!</v>
      </c>
      <c r="U72" s="133" t="e">
        <f aca="true">-OFFSET(U70,,-Tax_loss)*U7</f>
        <v>#VALUE!</v>
      </c>
      <c r="V72" s="133" t="e">
        <f aca="true">-OFFSET(V70,,-Tax_loss)*V7</f>
        <v>#VALUE!</v>
      </c>
      <c r="W72" s="133" t="e">
        <f aca="true">-OFFSET(W70,,-Tax_loss)*W7</f>
        <v>#VALUE!</v>
      </c>
      <c r="X72" s="133" t="e">
        <f aca="true">-OFFSET(X70,,-Tax_loss)*X7</f>
        <v>#VALUE!</v>
      </c>
      <c r="Y72" s="133" t="e">
        <f aca="true">-OFFSET(Y70,,-Tax_loss)*Y7</f>
        <v>#VALUE!</v>
      </c>
      <c r="Z72" s="133" t="e">
        <f aca="true">-OFFSET(Z70,,-Tax_loss)*Z7</f>
        <v>#VALUE!</v>
      </c>
      <c r="AA72" s="133" t="e">
        <f aca="true">-OFFSET(AA70,,-Tax_loss)*AA7</f>
        <v>#VALUE!</v>
      </c>
      <c r="AB72" s="133" t="e">
        <f aca="true">-OFFSET(AB70,,-Tax_loss)*AB7</f>
        <v>#VALUE!</v>
      </c>
      <c r="AC72" s="133" t="e">
        <f aca="true">-OFFSET(AC70,,-Tax_loss)*AC7</f>
        <v>#VALUE!</v>
      </c>
      <c r="AD72" s="133" t="e">
        <f aca="true">-OFFSET(AD70,,-Tax_loss)*AD7</f>
        <v>#VALUE!</v>
      </c>
      <c r="AE72" s="133" t="e">
        <f aca="true">-OFFSET(AE70,,-Tax_loss)*AE7</f>
        <v>#VALUE!</v>
      </c>
      <c r="AF72" s="133" t="e">
        <f aca="true">-OFFSET(AF70,,-Tax_loss)*AF7</f>
        <v>#VALUE!</v>
      </c>
      <c r="AG72" s="133" t="e">
        <f aca="true">-OFFSET(AG70,,-Tax_loss)*AG7</f>
        <v>#VALUE!</v>
      </c>
      <c r="AH72" s="133" t="e">
        <f aca="true">-OFFSET(AH70,,-Tax_loss)*AH7</f>
        <v>#VALUE!</v>
      </c>
      <c r="AI72" s="133" t="e">
        <f aca="true">-OFFSET(AI70,,-Tax_loss)*AI7</f>
        <v>#VALUE!</v>
      </c>
      <c r="AJ72" s="133" t="e">
        <f aca="true">-OFFSET(AJ70,,-Tax_loss)*AJ7</f>
        <v>#VALUE!</v>
      </c>
      <c r="AK72" s="133" t="e">
        <f aca="true">-OFFSET(AK70,,-Tax_loss)*AK7</f>
        <v>#VALUE!</v>
      </c>
      <c r="AL72" s="133" t="e">
        <f aca="true">-OFFSET(AL70,,-Tax_loss)*AL7</f>
        <v>#VALUE!</v>
      </c>
    </row>
    <row r="73" customFormat="false" ht="15" hidden="false" customHeight="false" outlineLevel="0" collapsed="false">
      <c r="C73" s="117" t="s">
        <v>392</v>
      </c>
      <c r="D73" s="117"/>
      <c r="E73" s="118" t="s">
        <v>72</v>
      </c>
      <c r="F73" s="117"/>
      <c r="G73" s="117"/>
      <c r="H73" s="117"/>
      <c r="I73" s="123" t="e">
        <f aca="false">MAX(SUM(I69:I72),0)</f>
        <v>#VALUE!</v>
      </c>
      <c r="J73" s="123" t="e">
        <f aca="false">MAX(SUM(J69:J72),0)</f>
        <v>#VALUE!</v>
      </c>
      <c r="K73" s="123" t="e">
        <f aca="false">MAX(SUM(K69:K72),0)</f>
        <v>#VALUE!</v>
      </c>
      <c r="L73" s="123" t="e">
        <f aca="false">MAX(SUM(L69:L72),0)</f>
        <v>#VALUE!</v>
      </c>
      <c r="M73" s="123" t="e">
        <f aca="false">MAX(SUM(M69:M72),0)</f>
        <v>#VALUE!</v>
      </c>
      <c r="N73" s="123" t="e">
        <f aca="false">MAX(SUM(N69:N72),0)</f>
        <v>#VALUE!</v>
      </c>
      <c r="O73" s="123" t="e">
        <f aca="false">MAX(SUM(O69:O72),0)</f>
        <v>#VALUE!</v>
      </c>
      <c r="P73" s="123" t="e">
        <f aca="false">MAX(SUM(P69:P72),0)</f>
        <v>#VALUE!</v>
      </c>
      <c r="Q73" s="123" t="e">
        <f aca="false">MAX(SUM(Q69:Q72),0)</f>
        <v>#VALUE!</v>
      </c>
      <c r="R73" s="123" t="e">
        <f aca="false">MAX(SUM(R69:R72),0)</f>
        <v>#VALUE!</v>
      </c>
      <c r="S73" s="123" t="e">
        <f aca="false">MAX(SUM(S69:S72),0)</f>
        <v>#VALUE!</v>
      </c>
      <c r="T73" s="123" t="e">
        <f aca="false">MAX(SUM(T69:T72),0)</f>
        <v>#VALUE!</v>
      </c>
      <c r="U73" s="123" t="e">
        <f aca="false">MAX(SUM(U69:U72),0)</f>
        <v>#VALUE!</v>
      </c>
      <c r="V73" s="123" t="e">
        <f aca="false">MAX(SUM(V69:V72),0)</f>
        <v>#VALUE!</v>
      </c>
      <c r="W73" s="123" t="e">
        <f aca="false">MAX(SUM(W69:W72),0)</f>
        <v>#VALUE!</v>
      </c>
      <c r="X73" s="123" t="e">
        <f aca="false">MAX(SUM(X69:X72),0)</f>
        <v>#VALUE!</v>
      </c>
      <c r="Y73" s="123" t="e">
        <f aca="false">MAX(SUM(Y69:Y72),0)</f>
        <v>#VALUE!</v>
      </c>
      <c r="Z73" s="123" t="e">
        <f aca="false">MAX(SUM(Z69:Z72),0)</f>
        <v>#VALUE!</v>
      </c>
      <c r="AA73" s="123" t="e">
        <f aca="false">MAX(SUM(AA69:AA72),0)</f>
        <v>#VALUE!</v>
      </c>
      <c r="AB73" s="123" t="e">
        <f aca="false">MAX(SUM(AB69:AB72),0)</f>
        <v>#VALUE!</v>
      </c>
      <c r="AC73" s="123" t="e">
        <f aca="false">MAX(SUM(AC69:AC72),0)</f>
        <v>#VALUE!</v>
      </c>
      <c r="AD73" s="123" t="e">
        <f aca="false">MAX(SUM(AD69:AD72),0)</f>
        <v>#VALUE!</v>
      </c>
      <c r="AE73" s="123" t="e">
        <f aca="false">MAX(SUM(AE69:AE72),0)</f>
        <v>#VALUE!</v>
      </c>
      <c r="AF73" s="123" t="e">
        <f aca="false">MAX(SUM(AF69:AF72),0)</f>
        <v>#VALUE!</v>
      </c>
      <c r="AG73" s="123" t="e">
        <f aca="false">MAX(SUM(AG69:AG72),0)</f>
        <v>#VALUE!</v>
      </c>
      <c r="AH73" s="123" t="e">
        <f aca="false">MAX(SUM(AH69:AH72),0)</f>
        <v>#VALUE!</v>
      </c>
      <c r="AI73" s="123" t="e">
        <f aca="false">MAX(SUM(AI69:AI72),0)</f>
        <v>#VALUE!</v>
      </c>
      <c r="AJ73" s="123" t="e">
        <f aca="false">MAX(SUM(AJ69:AJ72),0)</f>
        <v>#VALUE!</v>
      </c>
      <c r="AK73" s="123" t="e">
        <f aca="false">MAX(SUM(AK69:AK72),0)</f>
        <v>#VALUE!</v>
      </c>
      <c r="AL73" s="123" t="e">
        <f aca="false">MAX(SUM(AL69:AL72),0)</f>
        <v>#VALUE!</v>
      </c>
    </row>
    <row r="74" customFormat="false" ht="15" hidden="false" customHeight="false" outlineLevel="0" collapsed="false">
      <c r="C74" s="154"/>
      <c r="D74" s="154"/>
      <c r="E74" s="155"/>
      <c r="F74" s="154"/>
      <c r="G74" s="154"/>
      <c r="H74" s="154"/>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row>
    <row r="75" customFormat="false" ht="15" hidden="false" customHeight="false" outlineLevel="0" collapsed="false">
      <c r="C75" s="154" t="s">
        <v>449</v>
      </c>
      <c r="D75" s="154"/>
      <c r="E75" s="155" t="s">
        <v>72</v>
      </c>
      <c r="F75" s="154"/>
      <c r="G75" s="154"/>
      <c r="H75" s="154"/>
      <c r="I75" s="131" t="e">
        <f aca="false">MAX(I67+I71,0)</f>
        <v>#VALUE!</v>
      </c>
      <c r="J75" s="131" t="e">
        <f aca="false">MAX(J67+J71,0)</f>
        <v>#VALUE!</v>
      </c>
      <c r="K75" s="131" t="e">
        <f aca="false">MAX(K67+K71,0)</f>
        <v>#VALUE!</v>
      </c>
      <c r="L75" s="131" t="e">
        <f aca="false">MAX(L67+L71,0)</f>
        <v>#VALUE!</v>
      </c>
      <c r="M75" s="131" t="e">
        <f aca="false">MAX(M67+M71,0)</f>
        <v>#VALUE!</v>
      </c>
      <c r="N75" s="131" t="e">
        <f aca="false">MAX(N67+N71,0)</f>
        <v>#VALUE!</v>
      </c>
      <c r="O75" s="131" t="e">
        <f aca="false">MAX(O67+O71,0)</f>
        <v>#VALUE!</v>
      </c>
      <c r="P75" s="131" t="e">
        <f aca="false">MAX(P67+P71,0)</f>
        <v>#VALUE!</v>
      </c>
      <c r="Q75" s="131" t="e">
        <f aca="false">MAX(Q67+Q71,0)</f>
        <v>#VALUE!</v>
      </c>
      <c r="R75" s="131" t="e">
        <f aca="false">MAX(R67+R71,0)</f>
        <v>#VALUE!</v>
      </c>
      <c r="S75" s="131" t="e">
        <f aca="false">MAX(S67+S71,0)</f>
        <v>#VALUE!</v>
      </c>
      <c r="T75" s="131" t="e">
        <f aca="false">MAX(T67+T71,0)</f>
        <v>#VALUE!</v>
      </c>
      <c r="U75" s="131" t="e">
        <f aca="false">MAX(U67+U71,0)</f>
        <v>#VALUE!</v>
      </c>
      <c r="V75" s="131" t="e">
        <f aca="false">MAX(V67+V71,0)</f>
        <v>#VALUE!</v>
      </c>
      <c r="W75" s="131" t="e">
        <f aca="false">MAX(W67+W71,0)</f>
        <v>#VALUE!</v>
      </c>
      <c r="X75" s="131" t="e">
        <f aca="false">MAX(X67+X71,0)</f>
        <v>#VALUE!</v>
      </c>
      <c r="Y75" s="131" t="e">
        <f aca="false">MAX(Y67+Y71,0)</f>
        <v>#VALUE!</v>
      </c>
      <c r="Z75" s="131" t="e">
        <f aca="false">MAX(Z67+Z71,0)</f>
        <v>#VALUE!</v>
      </c>
      <c r="AA75" s="131" t="e">
        <f aca="false">MAX(AA67+AA71,0)</f>
        <v>#VALUE!</v>
      </c>
      <c r="AB75" s="131" t="e">
        <f aca="false">MAX(AB67+AB71,0)</f>
        <v>#VALUE!</v>
      </c>
      <c r="AC75" s="131" t="e">
        <f aca="false">MAX(AC67+AC71,0)</f>
        <v>#VALUE!</v>
      </c>
      <c r="AD75" s="131" t="e">
        <f aca="false">MAX(AD67+AD71,0)</f>
        <v>#VALUE!</v>
      </c>
      <c r="AE75" s="131" t="e">
        <f aca="false">MAX(AE67+AE71,0)</f>
        <v>#VALUE!</v>
      </c>
      <c r="AF75" s="131" t="e">
        <f aca="false">MAX(AF67+AF71,0)</f>
        <v>#VALUE!</v>
      </c>
      <c r="AG75" s="131" t="e">
        <f aca="false">MAX(AG67+AG71,0)</f>
        <v>#VALUE!</v>
      </c>
      <c r="AH75" s="131" t="e">
        <f aca="false">MAX(AH67+AH71,0)</f>
        <v>#VALUE!</v>
      </c>
      <c r="AI75" s="131" t="e">
        <f aca="false">MAX(AI67+AI71,0)</f>
        <v>#VALUE!</v>
      </c>
      <c r="AJ75" s="131" t="e">
        <f aca="false">MAX(AJ67+AJ71,0)</f>
        <v>#VALUE!</v>
      </c>
      <c r="AK75" s="131" t="e">
        <f aca="false">MAX(AK67+AK71,0)</f>
        <v>#VALUE!</v>
      </c>
      <c r="AL75" s="131" t="e">
        <f aca="false">MAX(AL67+AL71,0)</f>
        <v>#VALUE!</v>
      </c>
    </row>
    <row r="77" s="30" customFormat="true" ht="16.9" hidden="false" customHeight="true" outlineLevel="0" collapsed="false">
      <c r="A77" s="30" t="n">
        <f aca="false">COUNT($A$6:A76)+1</f>
        <v>3</v>
      </c>
      <c r="C77" s="30" t="s">
        <v>450</v>
      </c>
      <c r="E77" s="31"/>
      <c r="H77" s="112"/>
    </row>
    <row r="78" customFormat="false" ht="15" hidden="false" customHeight="false" outlineLevel="0" collapsed="false">
      <c r="E78" s="0"/>
      <c r="I78" s="195" t="n">
        <v>1</v>
      </c>
      <c r="J78" s="195" t="n">
        <v>1</v>
      </c>
      <c r="K78" s="195" t="n">
        <v>1</v>
      </c>
      <c r="L78" s="195" t="n">
        <v>1</v>
      </c>
      <c r="M78" s="195" t="n">
        <v>1</v>
      </c>
      <c r="N78" s="195" t="n">
        <v>1</v>
      </c>
      <c r="O78" s="195" t="n">
        <v>1</v>
      </c>
      <c r="P78" s="195" t="n">
        <v>1</v>
      </c>
      <c r="Q78" s="195" t="n">
        <v>1</v>
      </c>
      <c r="R78" s="195" t="n">
        <v>1</v>
      </c>
      <c r="S78" s="195" t="n">
        <v>1</v>
      </c>
      <c r="T78" s="195" t="n">
        <v>1</v>
      </c>
      <c r="U78" s="195" t="n">
        <v>1</v>
      </c>
      <c r="V78" s="195" t="n">
        <v>1</v>
      </c>
      <c r="W78" s="195" t="n">
        <v>1</v>
      </c>
      <c r="X78" s="195" t="n">
        <v>1</v>
      </c>
      <c r="Y78" s="195" t="n">
        <v>1</v>
      </c>
      <c r="Z78" s="195" t="n">
        <v>1</v>
      </c>
      <c r="AA78" s="195" t="n">
        <v>1</v>
      </c>
      <c r="AB78" s="195" t="n">
        <v>1</v>
      </c>
      <c r="AC78" s="195" t="n">
        <v>1</v>
      </c>
      <c r="AD78" s="195" t="n">
        <v>1</v>
      </c>
      <c r="AE78" s="195" t="n">
        <v>1</v>
      </c>
      <c r="AF78" s="195" t="n">
        <v>1</v>
      </c>
      <c r="AG78" s="195" t="n">
        <v>1</v>
      </c>
      <c r="AH78" s="195" t="n">
        <v>1</v>
      </c>
      <c r="AI78" s="195" t="n">
        <v>1</v>
      </c>
      <c r="AJ78" s="195" t="n">
        <v>1</v>
      </c>
      <c r="AK78" s="195" t="n">
        <v>1</v>
      </c>
      <c r="AL78" s="195" t="n">
        <v>1</v>
      </c>
    </row>
    <row r="79" customFormat="false" ht="15" hidden="false" customHeight="false" outlineLevel="0" collapsed="false">
      <c r="C79" s="0" t="s">
        <v>451</v>
      </c>
      <c r="E79" s="104" t="str">
        <f aca="false">IF(ROUND(G79,4)=0,"ok","error")</f>
        <v>ok</v>
      </c>
      <c r="G79" s="133" t="n">
        <f aca="false">SUMIF(I79:AL79,"error",I78:AL78)</f>
        <v>0</v>
      </c>
      <c r="I79" s="131" t="e">
        <f aca="false">'Cash Flow'!I106</f>
        <v>#VALUE!</v>
      </c>
      <c r="J79" s="131" t="e">
        <f aca="false">'Cash Flow'!J106</f>
        <v>#VALUE!</v>
      </c>
      <c r="K79" s="131" t="e">
        <f aca="false">'Cash Flow'!K106</f>
        <v>#VALUE!</v>
      </c>
      <c r="L79" s="131" t="e">
        <f aca="false">'Cash Flow'!L106</f>
        <v>#VALUE!</v>
      </c>
      <c r="M79" s="131" t="e">
        <f aca="false">'Cash Flow'!M106</f>
        <v>#VALUE!</v>
      </c>
      <c r="N79" s="131" t="e">
        <f aca="false">'Cash Flow'!N106</f>
        <v>#VALUE!</v>
      </c>
      <c r="O79" s="131" t="e">
        <f aca="false">'Cash Flow'!O106</f>
        <v>#VALUE!</v>
      </c>
      <c r="P79" s="131" t="e">
        <f aca="false">'Cash Flow'!P106</f>
        <v>#VALUE!</v>
      </c>
      <c r="Q79" s="131" t="e">
        <f aca="false">'Cash Flow'!Q106</f>
        <v>#VALUE!</v>
      </c>
      <c r="R79" s="131" t="e">
        <f aca="false">'Cash Flow'!R106</f>
        <v>#VALUE!</v>
      </c>
      <c r="S79" s="131" t="e">
        <f aca="false">'Cash Flow'!S106</f>
        <v>#VALUE!</v>
      </c>
      <c r="T79" s="131" t="e">
        <f aca="false">'Cash Flow'!T106</f>
        <v>#VALUE!</v>
      </c>
      <c r="U79" s="131" t="e">
        <f aca="false">'Cash Flow'!U106</f>
        <v>#VALUE!</v>
      </c>
      <c r="V79" s="131" t="e">
        <f aca="false">'Cash Flow'!V106</f>
        <v>#VALUE!</v>
      </c>
      <c r="W79" s="131" t="e">
        <f aca="false">'Cash Flow'!W106</f>
        <v>#VALUE!</v>
      </c>
      <c r="X79" s="131" t="e">
        <f aca="false">'Cash Flow'!X106</f>
        <v>#VALUE!</v>
      </c>
      <c r="Y79" s="131" t="e">
        <f aca="false">'Cash Flow'!Y106</f>
        <v>#VALUE!</v>
      </c>
      <c r="Z79" s="196" t="e">
        <f aca="false">'Cash Flow'!Z106</f>
        <v>#VALUE!</v>
      </c>
      <c r="AA79" s="196" t="e">
        <f aca="false">'Cash Flow'!AA106</f>
        <v>#VALUE!</v>
      </c>
      <c r="AB79" s="196" t="e">
        <f aca="false">'Cash Flow'!AB106</f>
        <v>#VALUE!</v>
      </c>
      <c r="AC79" s="196" t="e">
        <f aca="false">'Cash Flow'!AC106</f>
        <v>#VALUE!</v>
      </c>
      <c r="AD79" s="196" t="e">
        <f aca="false">'Cash Flow'!AD106</f>
        <v>#VALUE!</v>
      </c>
      <c r="AE79" s="196" t="e">
        <f aca="false">'Cash Flow'!AE106</f>
        <v>#VALUE!</v>
      </c>
      <c r="AF79" s="196" t="e">
        <f aca="false">'Cash Flow'!AF106</f>
        <v>#VALUE!</v>
      </c>
      <c r="AG79" s="196" t="e">
        <f aca="false">'Cash Flow'!AG106</f>
        <v>#VALUE!</v>
      </c>
      <c r="AH79" s="196" t="e">
        <f aca="false">'Cash Flow'!AH106</f>
        <v>#VALUE!</v>
      </c>
      <c r="AI79" s="196" t="e">
        <f aca="false">'Cash Flow'!AI106</f>
        <v>#VALUE!</v>
      </c>
      <c r="AJ79" s="196" t="e">
        <f aca="false">'Cash Flow'!AJ106</f>
        <v>#VALUE!</v>
      </c>
      <c r="AK79" s="196" t="e">
        <f aca="false">'Cash Flow'!AK106</f>
        <v>#VALUE!</v>
      </c>
      <c r="AL79" s="196" t="e">
        <f aca="false">'Cash Flow'!AL106</f>
        <v>#VALUE!</v>
      </c>
    </row>
    <row r="80" customFormat="false" ht="15" hidden="false" customHeight="false" outlineLevel="0" collapsed="false">
      <c r="C80" s="0" t="s">
        <v>452</v>
      </c>
      <c r="E80" s="104" t="e">
        <f aca="false">IF(ROUND(G80,4)=0,"ok","error")</f>
        <v>#VALUE!</v>
      </c>
      <c r="G80" s="133" t="e">
        <f aca="false">SUM(I80:AL80)</f>
        <v>#VALUE!</v>
      </c>
      <c r="I80" s="110" t="e">
        <f aca="false">I48</f>
        <v>#VALUE!</v>
      </c>
      <c r="J80" s="110" t="e">
        <f aca="false">J48</f>
        <v>#VALUE!</v>
      </c>
      <c r="K80" s="110" t="e">
        <f aca="false">K48</f>
        <v>#VALUE!</v>
      </c>
      <c r="L80" s="110" t="e">
        <f aca="false">L48</f>
        <v>#VALUE!</v>
      </c>
      <c r="M80" s="110" t="e">
        <f aca="false">M48</f>
        <v>#VALUE!</v>
      </c>
      <c r="N80" s="110" t="e">
        <f aca="false">N48</f>
        <v>#VALUE!</v>
      </c>
      <c r="O80" s="110" t="e">
        <f aca="false">O48</f>
        <v>#VALUE!</v>
      </c>
      <c r="P80" s="110" t="e">
        <f aca="false">P48</f>
        <v>#VALUE!</v>
      </c>
      <c r="Q80" s="110" t="e">
        <f aca="false">Q48</f>
        <v>#VALUE!</v>
      </c>
      <c r="R80" s="110" t="e">
        <f aca="false">R48</f>
        <v>#VALUE!</v>
      </c>
      <c r="S80" s="110" t="e">
        <f aca="false">S48</f>
        <v>#VALUE!</v>
      </c>
      <c r="T80" s="110" t="e">
        <f aca="false">T48</f>
        <v>#VALUE!</v>
      </c>
      <c r="U80" s="110" t="e">
        <f aca="false">U48</f>
        <v>#VALUE!</v>
      </c>
      <c r="V80" s="110" t="e">
        <f aca="false">V48</f>
        <v>#VALUE!</v>
      </c>
      <c r="W80" s="110" t="e">
        <f aca="false">W48</f>
        <v>#VALUE!</v>
      </c>
      <c r="X80" s="110" t="e">
        <f aca="false">X48</f>
        <v>#VALUE!</v>
      </c>
      <c r="Y80" s="110" t="e">
        <f aca="false">Y48</f>
        <v>#VALUE!</v>
      </c>
      <c r="Z80" s="110" t="e">
        <f aca="false">Z48</f>
        <v>#VALUE!</v>
      </c>
      <c r="AA80" s="110" t="e">
        <f aca="false">AA48</f>
        <v>#VALUE!</v>
      </c>
      <c r="AB80" s="110" t="e">
        <f aca="false">AB48</f>
        <v>#VALUE!</v>
      </c>
      <c r="AC80" s="110" t="e">
        <f aca="false">AC48</f>
        <v>#VALUE!</v>
      </c>
      <c r="AD80" s="110" t="e">
        <f aca="false">AD48</f>
        <v>#VALUE!</v>
      </c>
      <c r="AE80" s="110" t="e">
        <f aca="false">AE48</f>
        <v>#VALUE!</v>
      </c>
      <c r="AF80" s="110" t="e">
        <f aca="false">AF48</f>
        <v>#VALUE!</v>
      </c>
      <c r="AG80" s="110" t="e">
        <f aca="false">AG48</f>
        <v>#VALUE!</v>
      </c>
      <c r="AH80" s="110" t="e">
        <f aca="false">AH48</f>
        <v>#VALUE!</v>
      </c>
      <c r="AI80" s="110" t="e">
        <f aca="false">AI48</f>
        <v>#VALUE!</v>
      </c>
      <c r="AJ80" s="110" t="e">
        <f aca="false">AJ48</f>
        <v>#VALUE!</v>
      </c>
      <c r="AK80" s="110" t="e">
        <f aca="false">AK48</f>
        <v>#VALUE!</v>
      </c>
      <c r="AL80" s="110" t="e">
        <f aca="false">AL48</f>
        <v>#VALUE!</v>
      </c>
    </row>
    <row r="81" customFormat="false" ht="15" hidden="false" customHeight="false" outlineLevel="0" collapsed="false">
      <c r="C81" s="0" t="s">
        <v>453</v>
      </c>
      <c r="E81" s="104" t="str">
        <f aca="false">IF(ROUND(G81,4)=0,"ok","error")</f>
        <v>ok</v>
      </c>
      <c r="G81" s="0" t="n">
        <f aca="false">SUM(I81:AL81)</f>
        <v>0</v>
      </c>
      <c r="I81" s="110" t="n">
        <f aca="false">Funding!I186</f>
        <v>0</v>
      </c>
      <c r="J81" s="110" t="n">
        <f aca="false">Funding!J186</f>
        <v>0</v>
      </c>
      <c r="K81" s="110" t="n">
        <f aca="false">Funding!K186</f>
        <v>0</v>
      </c>
      <c r="L81" s="110" t="n">
        <f aca="false">Funding!L186</f>
        <v>0</v>
      </c>
      <c r="M81" s="110" t="n">
        <f aca="false">Funding!M186</f>
        <v>0</v>
      </c>
      <c r="N81" s="110" t="n">
        <f aca="false">Funding!N186</f>
        <v>0</v>
      </c>
      <c r="O81" s="110" t="n">
        <f aca="false">Funding!O186</f>
        <v>0</v>
      </c>
      <c r="P81" s="110" t="n">
        <f aca="false">Funding!P186</f>
        <v>0</v>
      </c>
      <c r="Q81" s="110" t="n">
        <f aca="false">Funding!Q186</f>
        <v>0</v>
      </c>
      <c r="R81" s="110" t="n">
        <f aca="false">Funding!R186</f>
        <v>0</v>
      </c>
      <c r="S81" s="110" t="n">
        <f aca="false">Funding!S186</f>
        <v>0</v>
      </c>
      <c r="T81" s="110" t="n">
        <f aca="false">Funding!T186</f>
        <v>0</v>
      </c>
      <c r="U81" s="110" t="n">
        <f aca="false">Funding!U186</f>
        <v>0</v>
      </c>
      <c r="V81" s="110" t="n">
        <f aca="false">Funding!V186</f>
        <v>0</v>
      </c>
      <c r="W81" s="110" t="n">
        <f aca="false">Funding!W186</f>
        <v>0</v>
      </c>
      <c r="X81" s="110" t="n">
        <f aca="false">Funding!X186</f>
        <v>0</v>
      </c>
      <c r="Y81" s="110" t="n">
        <f aca="false">Funding!Y186</f>
        <v>0</v>
      </c>
      <c r="Z81" s="110" t="n">
        <f aca="false">Funding!Z186</f>
        <v>0</v>
      </c>
      <c r="AA81" s="110" t="n">
        <f aca="false">Funding!AA186</f>
        <v>0</v>
      </c>
      <c r="AB81" s="110" t="n">
        <f aca="false">Funding!AB186</f>
        <v>0</v>
      </c>
      <c r="AC81" s="110" t="n">
        <f aca="false">Funding!AC186</f>
        <v>0</v>
      </c>
      <c r="AD81" s="110" t="n">
        <f aca="false">Funding!AD186</f>
        <v>0</v>
      </c>
      <c r="AE81" s="110" t="n">
        <f aca="false">Funding!AE186</f>
        <v>0</v>
      </c>
      <c r="AF81" s="110" t="n">
        <f aca="false">Funding!AF186</f>
        <v>0</v>
      </c>
      <c r="AG81" s="110" t="n">
        <f aca="false">Funding!AG186</f>
        <v>0</v>
      </c>
      <c r="AH81" s="110" t="n">
        <f aca="false">Funding!AH186</f>
        <v>0</v>
      </c>
      <c r="AI81" s="110" t="n">
        <f aca="false">Funding!AI186</f>
        <v>0</v>
      </c>
      <c r="AJ81" s="110" t="n">
        <f aca="false">Funding!AJ186</f>
        <v>0</v>
      </c>
      <c r="AK81" s="110" t="n">
        <f aca="false">Funding!AK186</f>
        <v>0</v>
      </c>
      <c r="AL81" s="110" t="n">
        <f aca="false">Funding!AL186</f>
        <v>0</v>
      </c>
    </row>
    <row r="82" customFormat="false" ht="15" hidden="false" customHeight="false" outlineLevel="0" collapsed="false">
      <c r="C82" s="0" t="s">
        <v>454</v>
      </c>
      <c r="E82" s="0" t="e">
        <f aca="false">(ROUND(Actual_Leverage-Target_Leverage,2)&lt;&gt;0)</f>
        <v>#NAME?</v>
      </c>
      <c r="G82" s="0" t="e">
        <f aca="false">E82*1</f>
        <v>#NAME?</v>
      </c>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row>
    <row r="83" customFormat="false" ht="15" hidden="false" customHeight="false" outlineLevel="0" collapsed="false">
      <c r="C83" s="0" t="s">
        <v>455</v>
      </c>
      <c r="E83" s="0" t="e">
        <f aca="false">1*(ROUND(SUM('Cash Flow'!I72:AL73,'Cash Flow'!I75:AL75)+IF(Bank_as_SH_Loan="yes",SUM('Cash Flow'!I71:AL71),0),3)=ROUND(-SUM('Cash Flow'!I110:AL112)+IF(Bank_as_SH_Loan="yes",SUM(Funding!I80:AL80),0),3))</f>
        <v>#NAME?</v>
      </c>
      <c r="G83" s="0" t="e">
        <f aca="false">1*(E83=0)</f>
        <v>#NAME?</v>
      </c>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row>
    <row r="84" customFormat="false" ht="15" hidden="false" customHeight="false" outlineLevel="0" collapsed="false">
      <c r="C84" s="0" t="s">
        <v>456</v>
      </c>
      <c r="E84" s="104" t="str">
        <f aca="false">IF(ROUND(G84,4)=0,"ok","error")</f>
        <v>error</v>
      </c>
      <c r="G84" s="189" t="n">
        <f aca="false">SUM(I84:AL84)</f>
        <v>12</v>
      </c>
      <c r="I84" s="189" t="n">
        <f aca="false">IF('Cash Flow'!I88=1,0,1)</f>
        <v>0</v>
      </c>
      <c r="J84" s="189" t="n">
        <f aca="false">IF('Cash Flow'!J88=1,0,1)</f>
        <v>1</v>
      </c>
      <c r="K84" s="189" t="n">
        <f aca="false">IF('Cash Flow'!K88=1,0,1)</f>
        <v>1</v>
      </c>
      <c r="L84" s="189" t="n">
        <f aca="false">IF('Cash Flow'!L88=1,0,1)</f>
        <v>1</v>
      </c>
      <c r="M84" s="189" t="n">
        <f aca="false">IF('Cash Flow'!M88=1,0,1)</f>
        <v>1</v>
      </c>
      <c r="N84" s="189" t="n">
        <f aca="false">IF('Cash Flow'!N88=1,0,1)</f>
        <v>1</v>
      </c>
      <c r="O84" s="189" t="n">
        <f aca="false">IF('Cash Flow'!O88=1,0,1)</f>
        <v>1</v>
      </c>
      <c r="P84" s="189" t="n">
        <f aca="false">IF('Cash Flow'!P88=1,0,1)</f>
        <v>1</v>
      </c>
      <c r="Q84" s="189" t="n">
        <f aca="false">IF('Cash Flow'!Q88=1,0,1)</f>
        <v>1</v>
      </c>
      <c r="R84" s="189" t="n">
        <f aca="false">IF('Cash Flow'!R88=1,0,1)</f>
        <v>1</v>
      </c>
      <c r="S84" s="189" t="n">
        <f aca="false">IF('Cash Flow'!S88=1,0,1)</f>
        <v>1</v>
      </c>
      <c r="T84" s="189" t="n">
        <f aca="false">IF('Cash Flow'!T88=1,0,1)</f>
        <v>1</v>
      </c>
      <c r="U84" s="189" t="n">
        <f aca="false">IF('Cash Flow'!U88=1,0,1)</f>
        <v>1</v>
      </c>
      <c r="V84" s="189" t="n">
        <f aca="false">IF('Cash Flow'!V88=1,0,1)</f>
        <v>0</v>
      </c>
      <c r="W84" s="189" t="n">
        <f aca="false">IF('Cash Flow'!W88=1,0,1)</f>
        <v>0</v>
      </c>
      <c r="X84" s="189" t="n">
        <f aca="false">IF('Cash Flow'!X88=1,0,1)</f>
        <v>0</v>
      </c>
      <c r="Y84" s="189" t="n">
        <f aca="false">IF('Cash Flow'!Y88=1,0,1)</f>
        <v>0</v>
      </c>
      <c r="Z84" s="189" t="n">
        <f aca="false">IF('Cash Flow'!Z88=1,0,1)</f>
        <v>0</v>
      </c>
      <c r="AA84" s="189" t="n">
        <f aca="false">IF('Cash Flow'!AA88=1,0,1)</f>
        <v>0</v>
      </c>
      <c r="AB84" s="189" t="n">
        <f aca="false">IF('Cash Flow'!AB88=1,0,1)</f>
        <v>0</v>
      </c>
      <c r="AC84" s="189" t="n">
        <f aca="false">IF('Cash Flow'!AC88=1,0,1)</f>
        <v>0</v>
      </c>
      <c r="AD84" s="189" t="n">
        <f aca="false">IF('Cash Flow'!AD88=1,0,1)</f>
        <v>0</v>
      </c>
      <c r="AE84" s="189" t="n">
        <f aca="false">IF('Cash Flow'!AE88=1,0,1)</f>
        <v>0</v>
      </c>
      <c r="AF84" s="189" t="n">
        <f aca="false">IF('Cash Flow'!AF88=1,0,1)</f>
        <v>0</v>
      </c>
      <c r="AG84" s="189" t="n">
        <f aca="false">IF('Cash Flow'!AG88=1,0,1)</f>
        <v>0</v>
      </c>
      <c r="AH84" s="189" t="n">
        <f aca="false">IF('Cash Flow'!AH88=1,0,1)</f>
        <v>0</v>
      </c>
      <c r="AI84" s="189" t="n">
        <f aca="false">IF('Cash Flow'!AI88=1,0,1)</f>
        <v>0</v>
      </c>
      <c r="AJ84" s="189" t="n">
        <f aca="false">IF('Cash Flow'!AJ88=1,0,1)</f>
        <v>0</v>
      </c>
      <c r="AK84" s="189" t="n">
        <f aca="false">IF('Cash Flow'!AK88=1,0,1)</f>
        <v>0</v>
      </c>
      <c r="AL84" s="189" t="n">
        <f aca="false">IF('Cash Flow'!AL88=1,0,1)</f>
        <v>0</v>
      </c>
    </row>
    <row r="86" customFormat="false" ht="15" hidden="false" customHeight="false" outlineLevel="0" collapsed="false">
      <c r="G86" s="0" t="e">
        <f aca="false">IF(AND(ABS(SUM(G79:G81))&lt;0.1,SUM(G82:G84)=0),"all checks ok","error in sheet")</f>
        <v>#VALUE!</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ED7D31"/>
    <pageSetUpPr fitToPage="true"/>
  </sheetPr>
  <dimension ref="A1:AL67"/>
  <sheetViews>
    <sheetView windowProtection="true" showFormulas="false" showGridLines="false" showRowColHeaders="true" showZeros="true" rightToLeft="false" tabSelected="false" showOutlineSymbols="true" defaultGridColor="true" view="normal" topLeftCell="A1" colorId="64" zoomScale="85" zoomScaleNormal="85" zoomScalePageLayoutView="100" workbookViewId="0">
      <pane xSplit="8" ySplit="4" topLeftCell="I5" activePane="bottomRight" state="frozen"/>
      <selection pane="topLeft" activeCell="A1" activeCellId="0" sqref="A1"/>
      <selection pane="topRight" activeCell="I1" activeCellId="0" sqref="I1"/>
      <selection pane="bottomLeft" activeCell="A5" activeCellId="0" sqref="A5"/>
      <selection pane="bottomRight" activeCell="J8" activeCellId="0" sqref="J8"/>
    </sheetView>
  </sheetViews>
  <sheetFormatPr defaultRowHeight="15"/>
  <cols>
    <col collapsed="false" hidden="false" max="2" min="1" style="0" width="4.49797570850202"/>
    <col collapsed="false" hidden="false" max="3" min="3" style="0" width="38.668016194332"/>
    <col collapsed="false" hidden="false" max="4" min="4" style="0" width="3.96356275303644"/>
    <col collapsed="false" hidden="false" max="5" min="5" style="104" width="8.89068825910931"/>
    <col collapsed="false" hidden="false" max="6" min="6" style="0" width="3.31983805668016"/>
    <col collapsed="false" hidden="false" max="7" min="7" style="0" width="12.3198380566802"/>
    <col collapsed="false" hidden="false" max="8" min="8" style="105" width="3.53441295546559"/>
    <col collapsed="false" hidden="false" max="9" min="9" style="0" width="10.6032388663968"/>
    <col collapsed="false" hidden="false" max="17" min="10" style="0" width="15.8542510121457"/>
    <col collapsed="false" hidden="false" max="18" min="18" style="0" width="3.42914979757085"/>
    <col collapsed="false" hidden="false" max="21" min="19" style="0" width="12.1052631578947"/>
    <col collapsed="false" hidden="false" max="38" min="22" style="0" width="11.6761133603239"/>
    <col collapsed="false" hidden="false" max="39" min="39" style="0" width="8.89068825910931"/>
    <col collapsed="false" hidden="true" max="1025" min="40" style="0" width="0"/>
  </cols>
  <sheetData>
    <row r="1" s="14" customFormat="true" ht="15" hidden="false" customHeight="false" outlineLevel="0" collapsed="false">
      <c r="A1" s="14" t="str">
        <f aca="false">Parameters!A1</f>
        <v>supplier SOLAR MODEL</v>
      </c>
      <c r="E1" s="15"/>
      <c r="F1" s="15"/>
      <c r="G1" s="15"/>
      <c r="H1" s="106"/>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row>
    <row r="2" customFormat="false" ht="15" hidden="false" customHeight="false" outlineLevel="0" collapsed="false">
      <c r="A2" s="14" t="str">
        <f aca="false">Parameters!A2</f>
        <v>25.01.2017</v>
      </c>
      <c r="B2" s="14"/>
      <c r="C2" s="14"/>
      <c r="D2" s="14"/>
      <c r="E2" s="15"/>
      <c r="F2" s="15"/>
      <c r="G2" s="15"/>
      <c r="H2" s="108"/>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customFormat="false" ht="15" hidden="false" customHeight="false" outlineLevel="0" collapsed="false">
      <c r="A3" s="14" t="str">
        <f aca="false">Parameters!A3</f>
        <v>customer GROUP</v>
      </c>
      <c r="B3" s="14"/>
      <c r="C3" s="14"/>
      <c r="D3" s="14"/>
      <c r="E3" s="15"/>
      <c r="F3" s="15"/>
      <c r="G3" s="15"/>
      <c r="H3" s="108"/>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customFormat="false" ht="15" hidden="false" customHeight="false" outlineLevel="0" collapsed="false">
      <c r="A4" s="14" t="e">
        <f aca="false">Parameters!A4</f>
        <v>#VALUE!</v>
      </c>
      <c r="B4" s="14"/>
      <c r="C4" s="14"/>
      <c r="D4" s="14"/>
      <c r="E4" s="15"/>
      <c r="F4" s="15"/>
      <c r="G4" s="15"/>
      <c r="H4" s="108"/>
      <c r="I4" s="15"/>
      <c r="J4" s="15" t="n">
        <v>1</v>
      </c>
      <c r="K4" s="15" t="n">
        <v>2</v>
      </c>
      <c r="L4" s="15" t="n">
        <v>3</v>
      </c>
      <c r="M4" s="15" t="n">
        <v>4</v>
      </c>
      <c r="N4" s="15" t="n">
        <v>5</v>
      </c>
      <c r="O4" s="15" t="n">
        <v>6</v>
      </c>
      <c r="P4" s="15" t="n">
        <v>7</v>
      </c>
      <c r="Q4" s="15" t="n">
        <v>8</v>
      </c>
      <c r="R4" s="15"/>
      <c r="S4" s="15"/>
      <c r="T4" s="15"/>
      <c r="U4" s="15"/>
      <c r="V4" s="15"/>
      <c r="W4" s="15"/>
      <c r="X4" s="15"/>
      <c r="Y4" s="15"/>
      <c r="Z4" s="15"/>
      <c r="AA4" s="15"/>
      <c r="AB4" s="15"/>
      <c r="AC4" s="15"/>
      <c r="AD4" s="15"/>
      <c r="AE4" s="15"/>
      <c r="AF4" s="15"/>
      <c r="AG4" s="15"/>
      <c r="AH4" s="15"/>
      <c r="AI4" s="15"/>
      <c r="AJ4" s="15"/>
      <c r="AK4" s="15"/>
      <c r="AL4" s="15"/>
    </row>
    <row r="5" customFormat="false" ht="6" hidden="false" customHeight="true" outlineLevel="0" collapsed="false">
      <c r="E5" s="0"/>
      <c r="H5" s="0"/>
      <c r="I5" s="110"/>
      <c r="J5" s="8"/>
      <c r="K5" s="8"/>
      <c r="L5" s="8"/>
      <c r="M5" s="8"/>
      <c r="N5" s="8"/>
      <c r="O5" s="8"/>
      <c r="P5" s="8"/>
      <c r="Q5" s="8"/>
    </row>
    <row r="6" customFormat="false" ht="38.45" hidden="false" customHeight="true" outlineLevel="0" collapsed="false">
      <c r="C6" s="197" t="s">
        <v>457</v>
      </c>
      <c r="D6" s="197"/>
      <c r="E6" s="198"/>
      <c r="F6" s="197"/>
      <c r="G6" s="198" t="n">
        <f aca="false">Scen_Select</f>
        <v>1</v>
      </c>
      <c r="H6" s="0"/>
      <c r="I6" s="110"/>
      <c r="J6" s="199" t="str">
        <f aca="false">Parameters!K6</f>
        <v>20 years, 25 pct minority, 14c LT,</v>
      </c>
      <c r="K6" s="199" t="str">
        <f aca="false">Parameters!L6</f>
        <v>20 years, 25 pct minority, 14c LT,</v>
      </c>
      <c r="L6" s="199" t="str">
        <f aca="false">Parameters!M6</f>
        <v>20 years, 25 pct minority, 14c LT,</v>
      </c>
      <c r="M6" s="199" t="str">
        <f aca="false">Parameters!N6</f>
        <v>20 years, 25 pct minority, 13c LT,</v>
      </c>
      <c r="N6" s="200" t="str">
        <f aca="false">Parameters!O6</f>
        <v>20 years, 25 pct minority, 14c LT,</v>
      </c>
      <c r="O6" s="200" t="str">
        <f aca="false">Parameters!P6</f>
        <v>20 years, 25 pct minority, 14c LT,</v>
      </c>
      <c r="P6" s="200" t="str">
        <f aca="false">Parameters!Q6</f>
        <v>20 years, 25 pct minority, 14c LT,</v>
      </c>
      <c r="Q6" s="200" t="str">
        <f aca="false">Parameters!R6</f>
        <v>20 years, 25 pct minority, 13c LT,</v>
      </c>
    </row>
    <row r="7" customFormat="false" ht="7.15" hidden="false" customHeight="true" outlineLevel="0" collapsed="false">
      <c r="E7" s="0"/>
      <c r="H7" s="0"/>
      <c r="I7" s="110"/>
      <c r="J7" s="37"/>
      <c r="K7" s="37"/>
      <c r="L7" s="37"/>
      <c r="M7" s="37"/>
      <c r="N7" s="201"/>
      <c r="O7" s="201"/>
      <c r="P7" s="201"/>
      <c r="Q7" s="201"/>
    </row>
    <row r="8" customFormat="false" ht="15" hidden="false" customHeight="false" outlineLevel="0" collapsed="false">
      <c r="C8" s="2" t="s">
        <v>278</v>
      </c>
      <c r="D8" s="2"/>
      <c r="E8" s="127" t="s">
        <v>34</v>
      </c>
      <c r="F8" s="2"/>
      <c r="G8" s="202" t="e">
        <f aca="false">supplier_irr</f>
        <v>#NAME?</v>
      </c>
      <c r="H8" s="129"/>
      <c r="I8" s="2"/>
      <c r="J8" s="202" t="n">
        <v>0.139223395109437</v>
      </c>
      <c r="K8" s="202" t="n">
        <v>0.132476058488683</v>
      </c>
      <c r="L8" s="202" t="n">
        <v>0.125772139687045</v>
      </c>
      <c r="M8" s="202" t="n">
        <v>0.119111349148494</v>
      </c>
      <c r="N8" s="202" t="n">
        <v>0.155820890051163</v>
      </c>
      <c r="O8" s="202" t="n">
        <v>0.148663079026291</v>
      </c>
      <c r="P8" s="202" t="n">
        <v>0.141552598936506</v>
      </c>
      <c r="Q8" s="202" t="n">
        <v>0.134489578240866</v>
      </c>
    </row>
    <row r="9" customFormat="false" ht="15" hidden="false" customHeight="false" outlineLevel="0" collapsed="false">
      <c r="C9" s="6" t="s">
        <v>458</v>
      </c>
      <c r="D9" s="2"/>
      <c r="E9" s="104" t="s">
        <v>72</v>
      </c>
      <c r="F9" s="2"/>
      <c r="G9" s="203" t="e">
        <f aca="false">'Cash Flow'!G127</f>
        <v>#VALUE!</v>
      </c>
      <c r="H9" s="129"/>
      <c r="I9" s="2"/>
      <c r="J9" s="203" t="n">
        <v>27537128.0232876</v>
      </c>
      <c r="K9" s="203" t="n">
        <v>26559965.6751009</v>
      </c>
      <c r="L9" s="203" t="n">
        <v>25582803.3269143</v>
      </c>
      <c r="M9" s="203" t="n">
        <v>24605640.9787277</v>
      </c>
      <c r="N9" s="203" t="n">
        <v>28637039.8654512</v>
      </c>
      <c r="O9" s="203" t="n">
        <v>27659877.5172645</v>
      </c>
      <c r="P9" s="203" t="n">
        <v>26682715.1690779</v>
      </c>
      <c r="Q9" s="203" t="n">
        <v>25705552.8208913</v>
      </c>
    </row>
    <row r="10" customFormat="false" ht="15" hidden="false" customHeight="false" outlineLevel="0" collapsed="false">
      <c r="C10" s="0" t="s">
        <v>459</v>
      </c>
      <c r="E10" s="104" t="s">
        <v>72</v>
      </c>
      <c r="G10" s="203" t="e">
        <f aca="false">-SUM('Cash Flow'!I110:AL114)</f>
        <v>#VALUE!</v>
      </c>
      <c r="H10" s="0"/>
      <c r="J10" s="203" t="n">
        <v>6284866.09429892</v>
      </c>
      <c r="K10" s="203" t="n">
        <v>6281117.79022313</v>
      </c>
      <c r="L10" s="203" t="n">
        <v>6277369.48614734</v>
      </c>
      <c r="M10" s="203" t="n">
        <v>6273621.18207154</v>
      </c>
      <c r="N10" s="203" t="n">
        <v>6026641.8247805</v>
      </c>
      <c r="O10" s="203" t="n">
        <v>6022893.52070471</v>
      </c>
      <c r="P10" s="203" t="n">
        <v>6019145.21662892</v>
      </c>
      <c r="Q10" s="203" t="n">
        <v>6015396.91255313</v>
      </c>
    </row>
    <row r="11" customFormat="false" ht="15" hidden="false" customHeight="false" outlineLevel="0" collapsed="false">
      <c r="C11" s="0" t="s">
        <v>111</v>
      </c>
      <c r="E11" s="104" t="s">
        <v>195</v>
      </c>
      <c r="G11" s="204" t="n">
        <f aca="false">PPA_duration</f>
        <v>20</v>
      </c>
      <c r="H11" s="0"/>
      <c r="J11" s="205" t="n">
        <v>20</v>
      </c>
      <c r="K11" s="205" t="n">
        <v>20</v>
      </c>
      <c r="L11" s="205" t="n">
        <v>20</v>
      </c>
      <c r="M11" s="205" t="n">
        <v>20</v>
      </c>
      <c r="N11" s="205" t="n">
        <v>20</v>
      </c>
      <c r="O11" s="205" t="n">
        <v>20</v>
      </c>
      <c r="P11" s="205" t="n">
        <v>20</v>
      </c>
      <c r="Q11" s="205" t="n">
        <v>20</v>
      </c>
    </row>
    <row r="12" customFormat="false" ht="15" hidden="false" customHeight="false" outlineLevel="0" collapsed="false">
      <c r="C12" s="0" t="s">
        <v>58</v>
      </c>
      <c r="E12" s="104" t="s">
        <v>460</v>
      </c>
      <c r="G12" s="206" t="n">
        <f aca="false">'Cash Flow'!G20</f>
        <v>0.14</v>
      </c>
      <c r="H12" s="0"/>
      <c r="J12" s="207" t="n">
        <v>0.14</v>
      </c>
      <c r="K12" s="207" t="n">
        <v>0.1375</v>
      </c>
      <c r="L12" s="207" t="n">
        <v>0.135</v>
      </c>
      <c r="M12" s="207" t="n">
        <v>0.1325</v>
      </c>
      <c r="N12" s="207" t="n">
        <v>0.14</v>
      </c>
      <c r="O12" s="207" t="n">
        <v>0.1375</v>
      </c>
      <c r="P12" s="207" t="n">
        <v>0.135</v>
      </c>
      <c r="Q12" s="207" t="n">
        <v>0.1325</v>
      </c>
    </row>
    <row r="13" customFormat="false" ht="15" hidden="false" customHeight="false" outlineLevel="0" collapsed="false">
      <c r="C13" s="0" t="s">
        <v>461</v>
      </c>
      <c r="E13" s="104" t="s">
        <v>460</v>
      </c>
      <c r="G13" s="208" t="n">
        <f aca="false">First_Tariff</f>
        <v>0.14</v>
      </c>
      <c r="H13" s="0"/>
      <c r="J13" s="208" t="n">
        <v>0.14</v>
      </c>
      <c r="K13" s="208" t="n">
        <v>0.1375</v>
      </c>
      <c r="L13" s="208" t="n">
        <v>0.135</v>
      </c>
      <c r="M13" s="208" t="n">
        <v>0.1325</v>
      </c>
      <c r="N13" s="208" t="n">
        <v>0.14</v>
      </c>
      <c r="O13" s="208" t="n">
        <v>0.1375</v>
      </c>
      <c r="P13" s="208" t="n">
        <v>0.135</v>
      </c>
      <c r="Q13" s="208" t="n">
        <v>0.1325</v>
      </c>
    </row>
    <row r="14" customFormat="false" ht="15" hidden="false" customHeight="false" outlineLevel="0" collapsed="false">
      <c r="C14" s="7" t="s">
        <v>64</v>
      </c>
      <c r="E14" s="104" t="s">
        <v>34</v>
      </c>
      <c r="G14" s="209" t="n">
        <f aca="false">Tariff_Escalation</f>
        <v>0</v>
      </c>
      <c r="H14" s="0"/>
      <c r="J14" s="209" t="n">
        <v>0</v>
      </c>
      <c r="K14" s="209" t="n">
        <v>0</v>
      </c>
      <c r="L14" s="209" t="n">
        <v>0</v>
      </c>
      <c r="M14" s="209" t="n">
        <v>0</v>
      </c>
      <c r="N14" s="209" t="n">
        <v>0</v>
      </c>
      <c r="O14" s="209" t="n">
        <v>0</v>
      </c>
      <c r="P14" s="209" t="n">
        <v>0</v>
      </c>
      <c r="Q14" s="209" t="n">
        <v>0</v>
      </c>
    </row>
    <row r="15" customFormat="false" ht="15" hidden="false" customHeight="false" outlineLevel="0" collapsed="false">
      <c r="C15" s="0" t="s">
        <v>462</v>
      </c>
      <c r="E15" s="104" t="s">
        <v>28</v>
      </c>
      <c r="G15" s="204" t="n">
        <f aca="false">Capacity</f>
        <v>20</v>
      </c>
      <c r="H15" s="0"/>
      <c r="J15" s="204" t="n">
        <v>20</v>
      </c>
      <c r="K15" s="204" t="n">
        <v>20</v>
      </c>
      <c r="L15" s="204" t="n">
        <v>20</v>
      </c>
      <c r="M15" s="204" t="n">
        <v>20</v>
      </c>
      <c r="N15" s="204" t="n">
        <v>20</v>
      </c>
      <c r="O15" s="204" t="n">
        <v>20</v>
      </c>
      <c r="P15" s="204" t="n">
        <v>20</v>
      </c>
      <c r="Q15" s="204" t="n">
        <v>20</v>
      </c>
    </row>
    <row r="16" customFormat="false" ht="15" hidden="false" customHeight="false" outlineLevel="0" collapsed="false">
      <c r="C16" s="0" t="s">
        <v>463</v>
      </c>
      <c r="E16" s="104" t="s">
        <v>464</v>
      </c>
      <c r="G16" s="204" t="n">
        <f aca="false">Parameters!T22</f>
        <v>1475.30761353123</v>
      </c>
      <c r="H16" s="0"/>
      <c r="J16" s="204" t="n">
        <v>1475.30761353123</v>
      </c>
      <c r="K16" s="204" t="n">
        <v>1475.30761353123</v>
      </c>
      <c r="L16" s="204" t="n">
        <v>1475.30761353123</v>
      </c>
      <c r="M16" s="204" t="n">
        <v>1475.30761353123</v>
      </c>
      <c r="N16" s="204" t="n">
        <v>1475.30761353123</v>
      </c>
      <c r="O16" s="204" t="n">
        <v>1475.30761353123</v>
      </c>
      <c r="P16" s="204" t="n">
        <v>1475.30761353123</v>
      </c>
      <c r="Q16" s="204" t="n">
        <v>1475.30761353123</v>
      </c>
    </row>
    <row r="17" customFormat="false" ht="15" hidden="false" customHeight="false" outlineLevel="0" collapsed="false">
      <c r="C17" s="0" t="s">
        <v>74</v>
      </c>
      <c r="E17" s="104" t="s">
        <v>465</v>
      </c>
      <c r="G17" s="210" t="n">
        <f aca="false">EPC_Cost</f>
        <v>1050</v>
      </c>
      <c r="H17" s="0"/>
      <c r="J17" s="210" t="n">
        <v>1050</v>
      </c>
      <c r="K17" s="210" t="n">
        <v>1050</v>
      </c>
      <c r="L17" s="210" t="n">
        <v>1050</v>
      </c>
      <c r="M17" s="210" t="n">
        <v>1050</v>
      </c>
      <c r="N17" s="210" t="n">
        <v>1000</v>
      </c>
      <c r="O17" s="210" t="n">
        <v>1000</v>
      </c>
      <c r="P17" s="210" t="n">
        <v>1000</v>
      </c>
      <c r="Q17" s="210" t="n">
        <v>1000</v>
      </c>
    </row>
    <row r="18" customFormat="false" ht="15" hidden="false" customHeight="false" outlineLevel="0" collapsed="false">
      <c r="C18" s="0" t="s">
        <v>81</v>
      </c>
      <c r="E18" s="104" t="s">
        <v>465</v>
      </c>
      <c r="G18" s="203" t="n">
        <f aca="false">Parameters!Y45</f>
        <v>0</v>
      </c>
      <c r="H18" s="0"/>
      <c r="J18" s="203" t="n">
        <v>0</v>
      </c>
      <c r="K18" s="203" t="n">
        <v>0</v>
      </c>
      <c r="L18" s="203" t="n">
        <v>0</v>
      </c>
      <c r="M18" s="203" t="n">
        <v>0</v>
      </c>
      <c r="N18" s="203" t="n">
        <v>0</v>
      </c>
      <c r="O18" s="203" t="n">
        <v>0</v>
      </c>
      <c r="P18" s="203" t="n">
        <v>0</v>
      </c>
      <c r="Q18" s="203" t="n">
        <v>0</v>
      </c>
    </row>
    <row r="19" customFormat="false" ht="15" hidden="false" customHeight="false" outlineLevel="0" collapsed="false">
      <c r="C19" s="0" t="s">
        <v>466</v>
      </c>
      <c r="E19" s="104" t="s">
        <v>67</v>
      </c>
      <c r="G19" s="211" t="n">
        <f aca="false">Land_Area</f>
        <v>34</v>
      </c>
      <c r="H19" s="0"/>
      <c r="J19" s="211" t="n">
        <v>34</v>
      </c>
      <c r="K19" s="211" t="n">
        <v>34</v>
      </c>
      <c r="L19" s="211" t="n">
        <v>34</v>
      </c>
      <c r="M19" s="211" t="n">
        <v>34</v>
      </c>
      <c r="N19" s="211" t="n">
        <v>34</v>
      </c>
      <c r="O19" s="211" t="n">
        <v>34</v>
      </c>
      <c r="P19" s="211" t="n">
        <v>34</v>
      </c>
      <c r="Q19" s="211" t="n">
        <v>34</v>
      </c>
    </row>
    <row r="20" customFormat="false" ht="15" hidden="true" customHeight="false" outlineLevel="1" collapsed="false">
      <c r="C20" s="0" t="s">
        <v>431</v>
      </c>
      <c r="E20" s="104" t="s">
        <v>69</v>
      </c>
      <c r="G20" s="212" t="n">
        <f aca="false">Land_per_hectare</f>
        <v>0</v>
      </c>
      <c r="H20" s="0"/>
      <c r="J20" s="212" t="n">
        <v>0</v>
      </c>
      <c r="K20" s="212" t="n">
        <v>0</v>
      </c>
      <c r="L20" s="212" t="n">
        <v>0</v>
      </c>
      <c r="M20" s="212" t="n">
        <v>0</v>
      </c>
      <c r="N20" s="212" t="n">
        <v>0</v>
      </c>
      <c r="O20" s="212" t="n">
        <v>0</v>
      </c>
      <c r="P20" s="212" t="n">
        <v>0</v>
      </c>
      <c r="Q20" s="212" t="n">
        <v>0</v>
      </c>
    </row>
    <row r="21" customFormat="false" ht="15" hidden="true" customHeight="false" outlineLevel="1" collapsed="false">
      <c r="C21" s="2" t="s">
        <v>431</v>
      </c>
      <c r="D21" s="2"/>
      <c r="E21" s="127" t="s">
        <v>72</v>
      </c>
      <c r="F21" s="2"/>
      <c r="G21" s="213" t="n">
        <f aca="false">G20*G19</f>
        <v>0</v>
      </c>
      <c r="H21" s="0"/>
      <c r="J21" s="213" t="n">
        <v>0</v>
      </c>
      <c r="K21" s="213" t="n">
        <v>0</v>
      </c>
      <c r="L21" s="213" t="n">
        <v>0</v>
      </c>
      <c r="M21" s="213" t="n">
        <v>0</v>
      </c>
      <c r="N21" s="213" t="n">
        <v>0</v>
      </c>
      <c r="O21" s="213" t="n">
        <v>0</v>
      </c>
      <c r="P21" s="213" t="n">
        <v>0</v>
      </c>
      <c r="Q21" s="213" t="n">
        <v>0</v>
      </c>
    </row>
    <row r="22" customFormat="false" ht="15" hidden="false" customHeight="false" outlineLevel="0" collapsed="false">
      <c r="C22" s="0" t="s">
        <v>467</v>
      </c>
      <c r="E22" s="104" t="s">
        <v>468</v>
      </c>
      <c r="G22" s="203" t="e">
        <f aca="false">G23/G15</f>
        <v>#NAME?</v>
      </c>
      <c r="H22" s="0"/>
      <c r="J22" s="203" t="n">
        <v>1400259.2946633</v>
      </c>
      <c r="K22" s="203" t="n">
        <v>1399424.17780598</v>
      </c>
      <c r="L22" s="203" t="n">
        <v>1398589.06094866</v>
      </c>
      <c r="M22" s="203" t="n">
        <v>1397753.94409134</v>
      </c>
      <c r="N22" s="203" t="n">
        <v>1342727.29190054</v>
      </c>
      <c r="O22" s="203" t="n">
        <v>1341892.17504322</v>
      </c>
      <c r="P22" s="203" t="n">
        <v>1341057.0581859</v>
      </c>
      <c r="Q22" s="203" t="n">
        <v>1340221.94132858</v>
      </c>
    </row>
    <row r="23" customFormat="false" ht="15" hidden="false" customHeight="false" outlineLevel="0" collapsed="false">
      <c r="C23" s="2" t="s">
        <v>469</v>
      </c>
      <c r="D23" s="2"/>
      <c r="E23" s="127" t="s">
        <v>72</v>
      </c>
      <c r="F23" s="2"/>
      <c r="G23" s="213" t="e">
        <f aca="false">Total_Capital_Required+Land_value</f>
        <v>#NAME?</v>
      </c>
      <c r="H23" s="129"/>
      <c r="J23" s="213" t="n">
        <v>28005185.8932661</v>
      </c>
      <c r="K23" s="213" t="n">
        <v>27988483.5561197</v>
      </c>
      <c r="L23" s="213" t="n">
        <v>27971781.2189732</v>
      </c>
      <c r="M23" s="213" t="n">
        <v>27955078.8818268</v>
      </c>
      <c r="N23" s="213" t="n">
        <v>26854545.8380108</v>
      </c>
      <c r="O23" s="213" t="n">
        <v>26837843.5008644</v>
      </c>
      <c r="P23" s="213" t="n">
        <v>26821141.163718</v>
      </c>
      <c r="Q23" s="213" t="n">
        <v>26804438.8265716</v>
      </c>
    </row>
    <row r="24" customFormat="false" ht="15" hidden="false" customHeight="false" outlineLevel="0" collapsed="false">
      <c r="B24" s="187"/>
      <c r="C24" s="187" t="s">
        <v>470</v>
      </c>
      <c r="D24" s="187"/>
      <c r="E24" s="214"/>
      <c r="F24" s="187"/>
      <c r="G24" s="215" t="e">
        <f aca="false">'Balance Sheet'!G86</f>
        <v>#VALUE!</v>
      </c>
      <c r="H24" s="129"/>
      <c r="J24" s="215" t="s">
        <v>471</v>
      </c>
      <c r="K24" s="215" t="s">
        <v>471</v>
      </c>
      <c r="L24" s="215" t="s">
        <v>471</v>
      </c>
      <c r="M24" s="215" t="s">
        <v>471</v>
      </c>
      <c r="N24" s="215" t="s">
        <v>471</v>
      </c>
      <c r="O24" s="215" t="s">
        <v>471</v>
      </c>
      <c r="P24" s="215" t="s">
        <v>471</v>
      </c>
      <c r="Q24" s="215" t="s">
        <v>471</v>
      </c>
    </row>
    <row r="25" customFormat="false" ht="15" hidden="false" customHeight="false" outlineLevel="0" collapsed="false">
      <c r="E25" s="0"/>
      <c r="H25" s="0"/>
    </row>
    <row r="26" customFormat="false" ht="15" hidden="false" customHeight="false" outlineLevel="1" collapsed="false">
      <c r="C26" s="0" t="str">
        <f aca="false">Summary!C23</f>
        <v>Total Hard Cost CAPEX</v>
      </c>
      <c r="E26" s="104" t="s">
        <v>72</v>
      </c>
      <c r="G26" s="203" t="n">
        <f aca="false">Funding!G35</f>
        <v>24210000</v>
      </c>
      <c r="H26" s="0"/>
      <c r="J26" s="203" t="n">
        <v>24210000</v>
      </c>
      <c r="K26" s="203" t="n">
        <v>24210000</v>
      </c>
      <c r="L26" s="203" t="n">
        <v>24210000</v>
      </c>
      <c r="M26" s="203" t="n">
        <v>24210000</v>
      </c>
      <c r="N26" s="203" t="n">
        <v>23160000</v>
      </c>
      <c r="O26" s="203" t="n">
        <v>23160000</v>
      </c>
      <c r="P26" s="203" t="n">
        <v>23160000</v>
      </c>
      <c r="Q26" s="203" t="n">
        <v>23160000</v>
      </c>
    </row>
    <row r="27" customFormat="false" ht="15" hidden="false" customHeight="false" outlineLevel="1" collapsed="false">
      <c r="C27" s="0" t="str">
        <f aca="false">Summary!C24</f>
        <v>MIGA</v>
      </c>
      <c r="E27" s="104" t="s">
        <v>72</v>
      </c>
      <c r="G27" s="203" t="n">
        <f aca="false">Funding!G36</f>
        <v>46060.9479693209</v>
      </c>
      <c r="H27" s="0"/>
      <c r="J27" s="203" t="n">
        <v>46060.9479693209</v>
      </c>
      <c r="K27" s="203" t="n">
        <v>46033.4771471239</v>
      </c>
      <c r="L27" s="203" t="n">
        <v>46006.006324927</v>
      </c>
      <c r="M27" s="203" t="n">
        <v>45978.53550273</v>
      </c>
      <c r="N27" s="203" t="n">
        <v>44168.4566315193</v>
      </c>
      <c r="O27" s="203" t="n">
        <v>44140.9858093223</v>
      </c>
      <c r="P27" s="203" t="n">
        <v>44113.5149871254</v>
      </c>
      <c r="Q27" s="203" t="n">
        <v>44086.0441649284</v>
      </c>
    </row>
    <row r="28" customFormat="false" ht="15" hidden="false" customHeight="false" outlineLevel="1" collapsed="false">
      <c r="C28" s="0" t="str">
        <f aca="false">Summary!C25</f>
        <v>1st year Working Capital</v>
      </c>
      <c r="E28" s="104" t="s">
        <v>72</v>
      </c>
      <c r="G28" s="203" t="n">
        <f aca="false">Funding!G37</f>
        <v>509284.272068314</v>
      </c>
      <c r="H28" s="0"/>
      <c r="J28" s="203" t="n">
        <v>509284.272068314</v>
      </c>
      <c r="K28" s="203" t="n">
        <v>500189.910067094</v>
      </c>
      <c r="L28" s="203" t="n">
        <v>491095.548065875</v>
      </c>
      <c r="M28" s="203" t="n">
        <v>482001.186064655</v>
      </c>
      <c r="N28" s="203" t="n">
        <v>509284.272068314</v>
      </c>
      <c r="O28" s="203" t="n">
        <v>500189.910067094</v>
      </c>
      <c r="P28" s="203" t="n">
        <v>491095.548065875</v>
      </c>
      <c r="Q28" s="203" t="n">
        <v>482001.186064655</v>
      </c>
    </row>
    <row r="29" customFormat="false" ht="15" hidden="false" customHeight="false" outlineLevel="1" collapsed="false">
      <c r="C29" s="0" t="str">
        <f aca="false">Summary!C26</f>
        <v>Debt Service Reserve Account (DSRA)</v>
      </c>
      <c r="E29" s="104" t="s">
        <v>72</v>
      </c>
      <c r="G29" s="203" t="n">
        <f aca="false">Funding!G38</f>
        <v>1268562.27647766</v>
      </c>
      <c r="H29" s="0"/>
      <c r="J29" s="203" t="n">
        <v>1268562.27647766</v>
      </c>
      <c r="K29" s="203" t="n">
        <v>1267805.70393021</v>
      </c>
      <c r="L29" s="203" t="n">
        <v>1267049.13138277</v>
      </c>
      <c r="M29" s="203" t="n">
        <v>1266292.55883532</v>
      </c>
      <c r="N29" s="203" t="n">
        <v>1216441.26669525</v>
      </c>
      <c r="O29" s="203" t="n">
        <v>1215684.69414781</v>
      </c>
      <c r="P29" s="203" t="n">
        <v>1214928.12160036</v>
      </c>
      <c r="Q29" s="203" t="n">
        <v>1214171.54905292</v>
      </c>
    </row>
    <row r="30" customFormat="false" ht="15" hidden="false" customHeight="false" outlineLevel="1" collapsed="false">
      <c r="C30" s="0" t="str">
        <f aca="false">Summary!C27</f>
        <v>Maintenance Reserve Account (MRA)</v>
      </c>
      <c r="E30" s="104" t="s">
        <v>72</v>
      </c>
      <c r="G30" s="203" t="n">
        <f aca="false">Funding!G39</f>
        <v>344238.443157287</v>
      </c>
      <c r="H30" s="0"/>
      <c r="J30" s="203" t="n">
        <v>344238.443157287</v>
      </c>
      <c r="K30" s="203" t="n">
        <v>338091.328100906</v>
      </c>
      <c r="L30" s="203" t="n">
        <v>331944.213044526</v>
      </c>
      <c r="M30" s="203" t="n">
        <v>325797.097988146</v>
      </c>
      <c r="N30" s="203" t="n">
        <v>344238.443157287</v>
      </c>
      <c r="O30" s="203" t="n">
        <v>338091.328100906</v>
      </c>
      <c r="P30" s="203" t="n">
        <v>331944.213044526</v>
      </c>
      <c r="Q30" s="203" t="n">
        <v>325797.097988146</v>
      </c>
    </row>
    <row r="31" customFormat="false" ht="15" hidden="false" customHeight="false" outlineLevel="1" collapsed="false">
      <c r="C31" s="0" t="str">
        <f aca="false">Summary!C28</f>
        <v>Financing Charges</v>
      </c>
      <c r="E31" s="104" t="s">
        <v>72</v>
      </c>
      <c r="G31" s="203" t="n">
        <f aca="false">Funding!G40</f>
        <v>917689.43187538</v>
      </c>
      <c r="H31" s="0"/>
      <c r="J31" s="203" t="n">
        <v>917689.43187538</v>
      </c>
      <c r="K31" s="203" t="n">
        <v>917435.672928937</v>
      </c>
      <c r="L31" s="203" t="n">
        <v>917181.913982495</v>
      </c>
      <c r="M31" s="203" t="n">
        <v>916928.155036052</v>
      </c>
      <c r="N31" s="203" t="n">
        <v>900207.734218529</v>
      </c>
      <c r="O31" s="203" t="n">
        <v>899953.975272086</v>
      </c>
      <c r="P31" s="203" t="n">
        <v>899700.216325643</v>
      </c>
      <c r="Q31" s="203" t="n">
        <v>899446.457379201</v>
      </c>
    </row>
    <row r="32" customFormat="false" ht="15" hidden="true" customHeight="false" outlineLevel="2" collapsed="false">
      <c r="C32" s="0" t="e">
        <f aca="false">summary!#REF!</f>
        <v>#VALUE!</v>
      </c>
      <c r="E32" s="104" t="s">
        <v>72</v>
      </c>
      <c r="G32" s="203" t="n">
        <f aca="false">Funding!G41</f>
        <v>0</v>
      </c>
      <c r="H32" s="0"/>
      <c r="J32" s="203" t="n">
        <v>0</v>
      </c>
      <c r="K32" s="203" t="n">
        <v>0</v>
      </c>
      <c r="L32" s="203" t="n">
        <v>0</v>
      </c>
      <c r="M32" s="203" t="n">
        <v>0</v>
      </c>
      <c r="N32" s="203" t="n">
        <v>0</v>
      </c>
      <c r="O32" s="203" t="n">
        <v>0</v>
      </c>
      <c r="P32" s="203" t="n">
        <v>0</v>
      </c>
      <c r="Q32" s="203" t="n">
        <v>0</v>
      </c>
    </row>
    <row r="33" customFormat="false" ht="15" hidden="false" customHeight="false" outlineLevel="1" collapsed="true">
      <c r="C33" s="0" t="str">
        <f aca="false">Summary!C29</f>
        <v>Interest During Construction (IDC)</v>
      </c>
      <c r="E33" s="104" t="s">
        <v>72</v>
      </c>
      <c r="G33" s="203" t="n">
        <f aca="false">Funding!G42</f>
        <v>709350.521718102</v>
      </c>
      <c r="H33" s="0"/>
      <c r="J33" s="203" t="n">
        <v>709350.521718102</v>
      </c>
      <c r="K33" s="203" t="n">
        <v>708927.463945379</v>
      </c>
      <c r="L33" s="203" t="n">
        <v>708504.406172655</v>
      </c>
      <c r="M33" s="203" t="n">
        <v>708081.348399932</v>
      </c>
      <c r="N33" s="203" t="n">
        <v>680205.665239884</v>
      </c>
      <c r="O33" s="203" t="n">
        <v>679782.60746716</v>
      </c>
      <c r="P33" s="203" t="n">
        <v>679359.549694436</v>
      </c>
      <c r="Q33" s="203" t="n">
        <v>678936.491921713</v>
      </c>
    </row>
    <row r="34" customFormat="false" ht="15" hidden="true" customHeight="false" outlineLevel="2" collapsed="false">
      <c r="C34" s="0" t="str">
        <f aca="false">Summary!C30</f>
        <v>WHT on IDC</v>
      </c>
      <c r="E34" s="104" t="s">
        <v>72</v>
      </c>
      <c r="G34" s="203" t="n">
        <f aca="false">Funding!G43</f>
        <v>0</v>
      </c>
      <c r="H34" s="0"/>
      <c r="J34" s="203" t="n">
        <v>0</v>
      </c>
      <c r="K34" s="203" t="n">
        <v>0</v>
      </c>
      <c r="L34" s="203" t="n">
        <v>0</v>
      </c>
      <c r="M34" s="203" t="n">
        <v>0</v>
      </c>
      <c r="N34" s="203" t="n">
        <v>0</v>
      </c>
      <c r="O34" s="203" t="n">
        <v>0</v>
      </c>
      <c r="P34" s="203" t="n">
        <v>0</v>
      </c>
      <c r="Q34" s="203" t="n">
        <v>0</v>
      </c>
    </row>
    <row r="35" customFormat="false" ht="15" hidden="true" customHeight="false" outlineLevel="2" collapsed="false">
      <c r="C35" s="0" t="str">
        <f aca="false">Summary!C31</f>
        <v>Other Devt Costs</v>
      </c>
      <c r="E35" s="104" t="s">
        <v>72</v>
      </c>
      <c r="G35" s="203" t="n">
        <f aca="false">Funding!G44</f>
        <v>0</v>
      </c>
      <c r="H35" s="0"/>
      <c r="J35" s="203" t="n">
        <v>0</v>
      </c>
      <c r="K35" s="203" t="n">
        <v>0</v>
      </c>
      <c r="L35" s="203" t="n">
        <v>0</v>
      </c>
      <c r="M35" s="203" t="n">
        <v>0</v>
      </c>
      <c r="N35" s="203" t="n">
        <v>0</v>
      </c>
      <c r="O35" s="203" t="n">
        <v>0</v>
      </c>
      <c r="P35" s="203" t="n">
        <v>0</v>
      </c>
      <c r="Q35" s="203" t="n">
        <v>0</v>
      </c>
    </row>
    <row r="36" customFormat="false" ht="15" hidden="false" customHeight="false" outlineLevel="1" collapsed="true">
      <c r="C36" s="132" t="str">
        <f aca="false">Summary!C32</f>
        <v>Total Capital Required, excl. Land</v>
      </c>
      <c r="D36" s="132"/>
      <c r="E36" s="182" t="s">
        <v>72</v>
      </c>
      <c r="F36" s="117"/>
      <c r="G36" s="216" t="n">
        <f aca="false">Total_Capital_Required</f>
        <v>28005185.8932661</v>
      </c>
      <c r="H36" s="119"/>
      <c r="I36" s="117"/>
      <c r="J36" s="216" t="n">
        <v>28005185.8932661</v>
      </c>
      <c r="K36" s="216" t="n">
        <v>27988483.5561197</v>
      </c>
      <c r="L36" s="216" t="n">
        <v>27971781.2189732</v>
      </c>
      <c r="M36" s="216" t="n">
        <v>27955078.8818268</v>
      </c>
      <c r="N36" s="216" t="n">
        <v>26854545.8380108</v>
      </c>
      <c r="O36" s="216" t="n">
        <v>26837843.5008644</v>
      </c>
      <c r="P36" s="216" t="n">
        <v>26821141.163718</v>
      </c>
      <c r="Q36" s="216" t="n">
        <v>26804438.8265716</v>
      </c>
    </row>
    <row r="37" customFormat="false" ht="9" hidden="false" customHeight="true" outlineLevel="1" collapsed="false">
      <c r="E37" s="0"/>
      <c r="H37" s="0"/>
    </row>
    <row r="38" customFormat="false" ht="15" hidden="false" customHeight="false" outlineLevel="1" collapsed="false">
      <c r="C38" s="2" t="str">
        <f aca="false">Summary!C36</f>
        <v>Hard Cost CAPEX composition:</v>
      </c>
      <c r="E38" s="0"/>
      <c r="H38" s="0"/>
    </row>
    <row r="39" customFormat="false" ht="15" hidden="false" customHeight="false" outlineLevel="1" collapsed="false">
      <c r="C39" s="0" t="str">
        <f aca="false">Summary!C37</f>
        <v>Construction / EPC Cost</v>
      </c>
      <c r="E39" s="104" t="s">
        <v>72</v>
      </c>
      <c r="G39" s="203" t="n">
        <f aca="false">Parameters!T40</f>
        <v>21000000</v>
      </c>
      <c r="H39" s="0"/>
      <c r="J39" s="203" t="n">
        <v>21000000</v>
      </c>
      <c r="K39" s="203" t="n">
        <v>21000000</v>
      </c>
      <c r="L39" s="203" t="n">
        <v>21000000</v>
      </c>
      <c r="M39" s="203" t="n">
        <v>21000000</v>
      </c>
      <c r="N39" s="203" t="n">
        <v>20000000</v>
      </c>
      <c r="O39" s="203" t="n">
        <v>20000000</v>
      </c>
      <c r="P39" s="203" t="n">
        <v>20000000</v>
      </c>
      <c r="Q39" s="203" t="n">
        <v>20000000</v>
      </c>
    </row>
    <row r="40" customFormat="false" ht="15" hidden="false" customHeight="false" outlineLevel="1" collapsed="false">
      <c r="C40" s="0" t="str">
        <f aca="false">Summary!C38</f>
        <v>Transmission Line + grid connection</v>
      </c>
      <c r="E40" s="104" t="s">
        <v>72</v>
      </c>
      <c r="G40" s="203" t="n">
        <f aca="false">Parameters!T41</f>
        <v>1560000</v>
      </c>
      <c r="H40" s="0"/>
      <c r="J40" s="203" t="n">
        <v>1560000</v>
      </c>
      <c r="K40" s="203" t="n">
        <v>1560000</v>
      </c>
      <c r="L40" s="203" t="n">
        <v>1560000</v>
      </c>
      <c r="M40" s="203" t="n">
        <v>1560000</v>
      </c>
      <c r="N40" s="203" t="n">
        <v>1560000</v>
      </c>
      <c r="O40" s="203" t="n">
        <v>1560000</v>
      </c>
      <c r="P40" s="203" t="n">
        <v>1560000</v>
      </c>
      <c r="Q40" s="203" t="n">
        <v>1560000</v>
      </c>
    </row>
    <row r="41" customFormat="false" ht="15" hidden="true" customHeight="false" outlineLevel="2" collapsed="false">
      <c r="C41" s="0" t="str">
        <f aca="false">Summary!C39</f>
        <v>Insurance</v>
      </c>
      <c r="E41" s="104" t="s">
        <v>72</v>
      </c>
      <c r="G41" s="203" t="n">
        <f aca="false">Parameters!T42</f>
        <v>0</v>
      </c>
      <c r="H41" s="0"/>
      <c r="J41" s="203" t="n">
        <v>0</v>
      </c>
      <c r="K41" s="203" t="n">
        <v>0</v>
      </c>
      <c r="L41" s="203" t="n">
        <v>0</v>
      </c>
      <c r="M41" s="203" t="n">
        <v>0</v>
      </c>
      <c r="N41" s="203" t="n">
        <v>0</v>
      </c>
      <c r="O41" s="203" t="n">
        <v>0</v>
      </c>
      <c r="P41" s="203" t="n">
        <v>0</v>
      </c>
      <c r="Q41" s="203" t="n">
        <v>0</v>
      </c>
    </row>
    <row r="42" customFormat="false" ht="15" hidden="false" customHeight="false" outlineLevel="1" collapsed="true">
      <c r="C42" s="0" t="str">
        <f aca="false">Summary!C40</f>
        <v>Development Studies / Construction Supervision</v>
      </c>
      <c r="E42" s="104" t="s">
        <v>72</v>
      </c>
      <c r="G42" s="203" t="n">
        <f aca="false">Parameters!T43</f>
        <v>600000</v>
      </c>
      <c r="H42" s="0"/>
      <c r="J42" s="203" t="n">
        <v>600000</v>
      </c>
      <c r="K42" s="203" t="n">
        <v>600000</v>
      </c>
      <c r="L42" s="203" t="n">
        <v>600000</v>
      </c>
      <c r="M42" s="203" t="n">
        <v>600000</v>
      </c>
      <c r="N42" s="203" t="n">
        <v>600000</v>
      </c>
      <c r="O42" s="203" t="n">
        <v>600000</v>
      </c>
      <c r="P42" s="203" t="n">
        <v>600000</v>
      </c>
      <c r="Q42" s="203" t="n">
        <v>600000</v>
      </c>
    </row>
    <row r="43" customFormat="false" ht="15" hidden="false" customHeight="false" outlineLevel="1" collapsed="false">
      <c r="C43" s="0" t="str">
        <f aca="false">Summary!C41</f>
        <v>Contingencies</v>
      </c>
      <c r="E43" s="104" t="s">
        <v>72</v>
      </c>
      <c r="G43" s="203" t="n">
        <f aca="false">Parameters!T44</f>
        <v>1050000</v>
      </c>
      <c r="H43" s="0"/>
      <c r="J43" s="203" t="n">
        <v>1050000</v>
      </c>
      <c r="K43" s="203" t="n">
        <v>1050000</v>
      </c>
      <c r="L43" s="203" t="n">
        <v>1050000</v>
      </c>
      <c r="M43" s="203" t="n">
        <v>1050000</v>
      </c>
      <c r="N43" s="203" t="n">
        <v>1000000</v>
      </c>
      <c r="O43" s="203" t="n">
        <v>1000000</v>
      </c>
      <c r="P43" s="203" t="n">
        <v>1000000</v>
      </c>
      <c r="Q43" s="203" t="n">
        <v>1000000</v>
      </c>
    </row>
    <row r="44" customFormat="false" ht="15" hidden="false" customHeight="false" outlineLevel="1" collapsed="false">
      <c r="C44" s="132" t="str">
        <f aca="false">Summary!C42</f>
        <v>Total Hard Costs</v>
      </c>
      <c r="D44" s="132"/>
      <c r="E44" s="182" t="s">
        <v>72</v>
      </c>
      <c r="F44" s="132"/>
      <c r="G44" s="217" t="n">
        <f aca="false">Hard_CAPEX</f>
        <v>24210000</v>
      </c>
      <c r="H44" s="119"/>
      <c r="I44" s="117"/>
      <c r="J44" s="217" t="n">
        <v>24210000</v>
      </c>
      <c r="K44" s="217" t="n">
        <v>24210000</v>
      </c>
      <c r="L44" s="217" t="n">
        <v>24210000</v>
      </c>
      <c r="M44" s="217" t="n">
        <v>24210000</v>
      </c>
      <c r="N44" s="217" t="n">
        <v>23160000</v>
      </c>
      <c r="O44" s="217" t="n">
        <v>23160000</v>
      </c>
      <c r="P44" s="217" t="n">
        <v>23160000</v>
      </c>
      <c r="Q44" s="217" t="n">
        <v>23160000</v>
      </c>
    </row>
    <row r="45" customFormat="false" ht="15" hidden="false" customHeight="false" outlineLevel="0" collapsed="false">
      <c r="E45" s="0"/>
      <c r="H45" s="0"/>
    </row>
    <row r="46" customFormat="false" ht="15" hidden="false" customHeight="false" outlineLevel="0" collapsed="false">
      <c r="C46" s="2" t="s">
        <v>472</v>
      </c>
      <c r="D46" s="2"/>
      <c r="E46" s="127" t="s">
        <v>34</v>
      </c>
      <c r="F46" s="2"/>
      <c r="G46" s="202" t="e">
        <f aca="false">Funding!H23+Funding!H24</f>
        <v>#NAME?</v>
      </c>
      <c r="H46" s="0"/>
      <c r="J46" s="202" t="n">
        <v>0.25</v>
      </c>
      <c r="K46" s="202" t="n">
        <v>0.25</v>
      </c>
      <c r="L46" s="202" t="n">
        <v>0.25</v>
      </c>
      <c r="M46" s="202" t="n">
        <v>0.25</v>
      </c>
      <c r="N46" s="202" t="n">
        <v>0.25</v>
      </c>
      <c r="O46" s="202" t="n">
        <v>0.25</v>
      </c>
      <c r="P46" s="202" t="n">
        <v>0.25</v>
      </c>
      <c r="Q46" s="202" t="n">
        <v>0.25</v>
      </c>
    </row>
    <row r="47" customFormat="false" ht="15" hidden="false" customHeight="false" outlineLevel="0" collapsed="false">
      <c r="C47" s="218" t="s">
        <v>473</v>
      </c>
      <c r="D47" s="2"/>
      <c r="E47" s="8" t="s">
        <v>34</v>
      </c>
      <c r="F47" s="2"/>
      <c r="G47" s="209" t="n">
        <f aca="false">Funding!H48</f>
        <v>0</v>
      </c>
      <c r="H47" s="0"/>
      <c r="J47" s="219" t="n">
        <v>0.25</v>
      </c>
      <c r="K47" s="219" t="n">
        <v>0.25</v>
      </c>
      <c r="L47" s="219" t="n">
        <v>0.25</v>
      </c>
      <c r="M47" s="219" t="n">
        <v>0.25</v>
      </c>
      <c r="N47" s="219" t="n">
        <v>0.25</v>
      </c>
      <c r="O47" s="219" t="n">
        <v>0.25</v>
      </c>
      <c r="P47" s="219" t="n">
        <v>0.25</v>
      </c>
      <c r="Q47" s="219" t="n">
        <v>0.25</v>
      </c>
    </row>
    <row r="48" customFormat="false" ht="15" hidden="false" customHeight="false" outlineLevel="0" collapsed="false">
      <c r="C48" s="218" t="s">
        <v>474</v>
      </c>
      <c r="D48" s="2"/>
      <c r="E48" s="8" t="s">
        <v>34</v>
      </c>
      <c r="F48" s="2"/>
      <c r="G48" s="209" t="n">
        <f aca="false">Funding!H49</f>
        <v>0</v>
      </c>
      <c r="H48" s="0"/>
      <c r="J48" s="219" t="n">
        <v>0</v>
      </c>
      <c r="K48" s="219" t="n">
        <v>0</v>
      </c>
      <c r="L48" s="219" t="n">
        <v>0</v>
      </c>
      <c r="M48" s="219" t="n">
        <v>0</v>
      </c>
      <c r="N48" s="219" t="n">
        <v>0</v>
      </c>
      <c r="O48" s="219" t="n">
        <v>0</v>
      </c>
      <c r="P48" s="219" t="n">
        <v>0</v>
      </c>
      <c r="Q48" s="219" t="n">
        <v>0</v>
      </c>
    </row>
    <row r="49" customFormat="false" ht="15" hidden="false" customHeight="false" outlineLevel="0" collapsed="false">
      <c r="C49" s="218" t="s">
        <v>475</v>
      </c>
      <c r="D49" s="7"/>
      <c r="E49" s="8" t="s">
        <v>34</v>
      </c>
      <c r="G49" s="209" t="n">
        <f aca="false">Funding!H50</f>
        <v>0</v>
      </c>
      <c r="H49" s="0"/>
      <c r="J49" s="219" t="n">
        <v>0</v>
      </c>
      <c r="K49" s="219" t="n">
        <v>0</v>
      </c>
      <c r="L49" s="219" t="n">
        <v>0</v>
      </c>
      <c r="M49" s="219" t="n">
        <v>0</v>
      </c>
      <c r="N49" s="219" t="n">
        <v>0</v>
      </c>
      <c r="O49" s="219" t="n">
        <v>0</v>
      </c>
      <c r="P49" s="219" t="n">
        <v>0</v>
      </c>
      <c r="Q49" s="219" t="n">
        <v>0</v>
      </c>
    </row>
    <row r="50" customFormat="false" ht="15" hidden="false" customHeight="false" outlineLevel="0" collapsed="false">
      <c r="C50" s="220" t="s">
        <v>476</v>
      </c>
      <c r="D50" s="7"/>
      <c r="E50" s="104" t="s">
        <v>72</v>
      </c>
      <c r="G50" s="203" t="e">
        <f aca="false">Funding!G48</f>
        <v>#NAME?</v>
      </c>
      <c r="H50" s="0"/>
      <c r="J50" s="203" t="n">
        <v>2094955.36476631</v>
      </c>
      <c r="K50" s="203" t="n">
        <v>2093705.93007438</v>
      </c>
      <c r="L50" s="203" t="n">
        <v>2092456.49538245</v>
      </c>
      <c r="M50" s="203" t="n">
        <v>2091207.06069051</v>
      </c>
      <c r="N50" s="203" t="n">
        <v>2008880.60826017</v>
      </c>
      <c r="O50" s="203" t="n">
        <v>2007631.17356824</v>
      </c>
      <c r="P50" s="203" t="n">
        <v>2006381.73887631</v>
      </c>
      <c r="Q50" s="203" t="n">
        <v>2005132.30418438</v>
      </c>
    </row>
    <row r="51" customFormat="false" ht="15" hidden="false" customHeight="false" outlineLevel="0" collapsed="false">
      <c r="C51" s="220" t="s">
        <v>477</v>
      </c>
      <c r="D51" s="7"/>
      <c r="E51" s="104" t="s">
        <v>72</v>
      </c>
      <c r="G51" s="203" t="e">
        <f aca="false">Funding!G49</f>
        <v>#NAME?</v>
      </c>
      <c r="H51" s="0"/>
      <c r="J51" s="203" t="n">
        <v>0</v>
      </c>
      <c r="K51" s="203" t="n">
        <v>0</v>
      </c>
      <c r="L51" s="203" t="n">
        <v>0</v>
      </c>
      <c r="M51" s="203" t="n">
        <v>0</v>
      </c>
      <c r="N51" s="203" t="n">
        <v>0</v>
      </c>
      <c r="O51" s="203" t="n">
        <v>0</v>
      </c>
      <c r="P51" s="203" t="n">
        <v>0</v>
      </c>
      <c r="Q51" s="203" t="n">
        <v>0</v>
      </c>
    </row>
    <row r="52" customFormat="false" ht="15" hidden="false" customHeight="false" outlineLevel="0" collapsed="false">
      <c r="C52" s="220" t="s">
        <v>308</v>
      </c>
      <c r="D52" s="7"/>
      <c r="E52" s="104" t="s">
        <v>72</v>
      </c>
      <c r="G52" s="203" t="e">
        <f aca="false">Funding!G50</f>
        <v>#NAME?</v>
      </c>
      <c r="H52" s="0"/>
      <c r="J52" s="203" t="n">
        <v>0</v>
      </c>
      <c r="K52" s="203" t="n">
        <v>0</v>
      </c>
      <c r="L52" s="203" t="n">
        <v>0</v>
      </c>
      <c r="M52" s="203" t="n">
        <v>0</v>
      </c>
      <c r="N52" s="203" t="n">
        <v>0</v>
      </c>
      <c r="O52" s="203" t="n">
        <v>0</v>
      </c>
      <c r="P52" s="203" t="n">
        <v>0</v>
      </c>
      <c r="Q52" s="203" t="n">
        <v>0</v>
      </c>
    </row>
    <row r="53" customFormat="false" ht="15" hidden="false" customHeight="false" outlineLevel="0" collapsed="false">
      <c r="C53" s="117" t="s">
        <v>478</v>
      </c>
      <c r="D53" s="117"/>
      <c r="E53" s="118" t="s">
        <v>72</v>
      </c>
      <c r="F53" s="117"/>
      <c r="G53" s="216" t="e">
        <f aca="false">Minority_Equity_value_excl_bridge+Bridge_Equity_value</f>
        <v>#NAME?</v>
      </c>
      <c r="H53" s="119"/>
      <c r="I53" s="117"/>
      <c r="J53" s="216" t="n">
        <v>2094955.36476631</v>
      </c>
      <c r="K53" s="216" t="n">
        <v>2093705.93007438</v>
      </c>
      <c r="L53" s="216" t="n">
        <v>2092456.49538245</v>
      </c>
      <c r="M53" s="216" t="n">
        <v>2091207.06069051</v>
      </c>
      <c r="N53" s="216" t="n">
        <v>2008880.60826017</v>
      </c>
      <c r="O53" s="216" t="n">
        <v>2007631.17356824</v>
      </c>
      <c r="P53" s="216" t="n">
        <v>2006381.73887631</v>
      </c>
      <c r="Q53" s="216" t="n">
        <v>2005132.30418438</v>
      </c>
    </row>
    <row r="54" customFormat="false" ht="15" hidden="false" customHeight="false" outlineLevel="0" collapsed="false">
      <c r="C54" s="154"/>
      <c r="D54" s="154"/>
      <c r="E54" s="155"/>
      <c r="F54" s="154"/>
      <c r="G54" s="203"/>
      <c r="H54" s="0"/>
      <c r="I54" s="154"/>
      <c r="J54" s="203"/>
      <c r="K54" s="203"/>
      <c r="L54" s="203"/>
      <c r="M54" s="203"/>
      <c r="N54" s="203"/>
      <c r="O54" s="203"/>
      <c r="P54" s="203"/>
      <c r="Q54" s="203"/>
    </row>
    <row r="55" customFormat="false" ht="15" hidden="false" customHeight="false" outlineLevel="0" collapsed="false">
      <c r="C55" s="2" t="s">
        <v>287</v>
      </c>
      <c r="D55" s="2"/>
      <c r="E55" s="127" t="s">
        <v>34</v>
      </c>
      <c r="F55" s="2"/>
      <c r="G55" s="202" t="e">
        <f aca="false">'Cash Flow'!G142</f>
        <v>#NAME?</v>
      </c>
      <c r="H55" s="129"/>
      <c r="I55" s="2"/>
      <c r="J55" s="202" t="n">
        <v>0.150442453063821</v>
      </c>
      <c r="K55" s="202" t="n">
        <v>0.143144935251355</v>
      </c>
      <c r="L55" s="202" t="n">
        <v>0.135894335238734</v>
      </c>
      <c r="M55" s="202" t="n">
        <v>0.128690656716905</v>
      </c>
      <c r="N55" s="202" t="n">
        <v>0.168393652147476</v>
      </c>
      <c r="O55" s="202" t="n">
        <v>0.160653796761481</v>
      </c>
      <c r="P55" s="202" t="n">
        <v>0.152964124488753</v>
      </c>
      <c r="Q55" s="202" t="n">
        <v>0.145325212163039</v>
      </c>
    </row>
    <row r="56" customFormat="false" ht="15" hidden="false" customHeight="false" outlineLevel="0" collapsed="false">
      <c r="C56" s="2" t="s">
        <v>479</v>
      </c>
      <c r="D56" s="2"/>
      <c r="E56" s="127" t="s">
        <v>72</v>
      </c>
      <c r="F56" s="2"/>
      <c r="G56" s="213" t="e">
        <f aca="false">'Cash Flow'!G138</f>
        <v>#NAME?</v>
      </c>
      <c r="H56" s="129"/>
      <c r="I56" s="2"/>
      <c r="J56" s="213" t="n">
        <v>9179042.67442919</v>
      </c>
      <c r="K56" s="213" t="n">
        <v>8853321.89170032</v>
      </c>
      <c r="L56" s="213" t="n">
        <v>8527601.10897144</v>
      </c>
      <c r="M56" s="213" t="n">
        <v>8201880.32624257</v>
      </c>
      <c r="N56" s="213" t="n">
        <v>9545679.95515039</v>
      </c>
      <c r="O56" s="213" t="n">
        <v>9219959.17242151</v>
      </c>
      <c r="P56" s="213" t="n">
        <v>8894238.38969264</v>
      </c>
      <c r="Q56" s="213" t="n">
        <v>8568517.60696377</v>
      </c>
    </row>
    <row r="57" customFormat="false" ht="15" hidden="false" customHeight="false" outlineLevel="0" collapsed="false">
      <c r="C57" s="140" t="s">
        <v>294</v>
      </c>
      <c r="E57" s="104" t="s">
        <v>72</v>
      </c>
      <c r="G57" s="203" t="e">
        <f aca="false">'Cash Flow'!G154</f>
        <v>#NAME?</v>
      </c>
      <c r="J57" s="203" t="n">
        <v>9179042.67442919</v>
      </c>
      <c r="K57" s="203" t="n">
        <v>8853321.89170031</v>
      </c>
      <c r="L57" s="203" t="n">
        <v>8527601.10897144</v>
      </c>
      <c r="M57" s="203" t="n">
        <v>8201880.32624257</v>
      </c>
      <c r="N57" s="203" t="n">
        <v>9545679.95515039</v>
      </c>
      <c r="O57" s="203" t="n">
        <v>9219959.17242151</v>
      </c>
      <c r="P57" s="203" t="n">
        <v>8894238.38969264</v>
      </c>
      <c r="Q57" s="203" t="n">
        <v>8568517.60696377</v>
      </c>
    </row>
    <row r="58" customFormat="false" ht="15" hidden="false" customHeight="false" outlineLevel="0" collapsed="false">
      <c r="C58" s="140" t="s">
        <v>295</v>
      </c>
      <c r="E58" s="104" t="s">
        <v>72</v>
      </c>
      <c r="G58" s="203" t="e">
        <f aca="false">'Cash Flow'!G155</f>
        <v>#NAME?</v>
      </c>
      <c r="J58" s="203" t="n">
        <v>0</v>
      </c>
      <c r="K58" s="203" t="n">
        <v>0</v>
      </c>
      <c r="L58" s="203" t="n">
        <v>0</v>
      </c>
      <c r="M58" s="203" t="n">
        <v>0</v>
      </c>
      <c r="N58" s="203" t="n">
        <v>0</v>
      </c>
      <c r="O58" s="203" t="n">
        <v>0</v>
      </c>
      <c r="P58" s="203" t="n">
        <v>0</v>
      </c>
      <c r="Q58" s="203" t="n">
        <v>0</v>
      </c>
    </row>
    <row r="59" customFormat="false" ht="15" hidden="false" customHeight="false" outlineLevel="0" collapsed="false">
      <c r="C59" s="140" t="s">
        <v>296</v>
      </c>
      <c r="E59" s="104" t="s">
        <v>72</v>
      </c>
      <c r="G59" s="203" t="e">
        <f aca="false">'Cash Flow'!G156</f>
        <v>#NAME?</v>
      </c>
      <c r="J59" s="203" t="n">
        <v>0</v>
      </c>
      <c r="K59" s="203" t="n">
        <v>0</v>
      </c>
      <c r="L59" s="203" t="n">
        <v>0</v>
      </c>
      <c r="M59" s="203" t="n">
        <v>0</v>
      </c>
      <c r="N59" s="203" t="n">
        <v>0</v>
      </c>
      <c r="O59" s="203" t="n">
        <v>0</v>
      </c>
      <c r="P59" s="203" t="n">
        <v>0</v>
      </c>
      <c r="Q59" s="203" t="n">
        <v>0</v>
      </c>
    </row>
    <row r="60" customFormat="false" ht="15" hidden="false" customHeight="false" outlineLevel="0" collapsed="false">
      <c r="C60" s="0" t="s">
        <v>480</v>
      </c>
      <c r="E60" s="104" t="s">
        <v>72</v>
      </c>
      <c r="G60" s="203" t="e">
        <f aca="false">SUMIF('Cash Flow'!I8:AL8,"&lt;=8",'Cash Flow'!I138:AL138)</f>
        <v>#NAME?</v>
      </c>
      <c r="J60" s="203" t="n">
        <v>2117171.82545901</v>
      </c>
      <c r="K60" s="203" t="n">
        <v>1973230.0482739</v>
      </c>
      <c r="L60" s="203" t="n">
        <v>1829288.2710888</v>
      </c>
      <c r="M60" s="203" t="n">
        <v>1685346.49390369</v>
      </c>
      <c r="N60" s="203" t="n">
        <v>2362960.2694458</v>
      </c>
      <c r="O60" s="203" t="n">
        <v>2219018.49226069</v>
      </c>
      <c r="P60" s="203" t="n">
        <v>2075076.71507559</v>
      </c>
      <c r="Q60" s="203" t="n">
        <v>1931134.93789048</v>
      </c>
    </row>
    <row r="61" customFormat="false" ht="15" hidden="false" customHeight="false" outlineLevel="0" collapsed="false">
      <c r="E61" s="0"/>
      <c r="G61" s="203"/>
      <c r="J61" s="203"/>
      <c r="K61" s="203"/>
      <c r="L61" s="203"/>
      <c r="M61" s="203"/>
      <c r="N61" s="203"/>
      <c r="O61" s="203"/>
      <c r="P61" s="203"/>
      <c r="Q61" s="203"/>
    </row>
    <row r="62" customFormat="false" ht="15" hidden="false" customHeight="false" outlineLevel="0" collapsed="false">
      <c r="C62" s="140" t="s">
        <v>481</v>
      </c>
      <c r="E62" s="104" t="s">
        <v>34</v>
      </c>
      <c r="G62" s="221" t="e">
        <f aca="false">Actual_Leverage</f>
        <v>#NAME?</v>
      </c>
      <c r="J62" s="221" t="n">
        <v>0.700776081579941</v>
      </c>
      <c r="K62" s="221" t="n">
        <v>0.700776081579941</v>
      </c>
      <c r="L62" s="221" t="n">
        <v>0.700776081579941</v>
      </c>
      <c r="M62" s="221" t="n">
        <v>0.700776081579941</v>
      </c>
      <c r="N62" s="221" t="n">
        <v>0.700776081579941</v>
      </c>
      <c r="O62" s="221" t="n">
        <v>0.700776081579941</v>
      </c>
      <c r="P62" s="221" t="n">
        <v>0.700776081579941</v>
      </c>
      <c r="Q62" s="221" t="n">
        <v>0.700776081579941</v>
      </c>
    </row>
    <row r="63" customFormat="false" ht="15" hidden="false" customHeight="false" outlineLevel="0" collapsed="false">
      <c r="C63" s="140" t="s">
        <v>177</v>
      </c>
      <c r="E63" s="104" t="s">
        <v>34</v>
      </c>
      <c r="G63" s="221" t="e">
        <f aca="false">Funding!H18</f>
        <v>#NAME?</v>
      </c>
      <c r="J63" s="221" t="n">
        <v>0</v>
      </c>
      <c r="K63" s="221" t="n">
        <v>0</v>
      </c>
      <c r="L63" s="221" t="n">
        <v>0</v>
      </c>
      <c r="M63" s="221" t="n">
        <v>0</v>
      </c>
      <c r="N63" s="221" t="n">
        <v>0</v>
      </c>
      <c r="O63" s="221" t="n">
        <v>0</v>
      </c>
      <c r="P63" s="221" t="n">
        <v>0</v>
      </c>
      <c r="Q63" s="221" t="n">
        <v>0</v>
      </c>
    </row>
    <row r="64" customFormat="false" ht="15" hidden="false" customHeight="false" outlineLevel="0" collapsed="false">
      <c r="C64" s="140" t="s">
        <v>304</v>
      </c>
      <c r="E64" s="104" t="s">
        <v>34</v>
      </c>
      <c r="G64" s="221" t="e">
        <f aca="false">Funding!H19</f>
        <v>#NAME?</v>
      </c>
      <c r="J64" s="221" t="n">
        <v>0.299223918420059</v>
      </c>
      <c r="K64" s="221" t="n">
        <v>0.299223918420059</v>
      </c>
      <c r="L64" s="221" t="n">
        <v>0.299223918420059</v>
      </c>
      <c r="M64" s="221" t="n">
        <v>0.299223918420059</v>
      </c>
      <c r="N64" s="221" t="n">
        <v>0.299223918420059</v>
      </c>
      <c r="O64" s="221" t="n">
        <v>0.299223918420059</v>
      </c>
      <c r="P64" s="221" t="n">
        <v>0.299223918420059</v>
      </c>
      <c r="Q64" s="221" t="n">
        <v>0.299223918420059</v>
      </c>
    </row>
    <row r="65" customFormat="false" ht="15" hidden="false" customHeight="false" outlineLevel="0" collapsed="false">
      <c r="C65" s="140"/>
      <c r="E65" s="0"/>
      <c r="G65" s="222"/>
      <c r="J65" s="222"/>
      <c r="K65" s="222"/>
      <c r="L65" s="222"/>
      <c r="M65" s="222"/>
      <c r="N65" s="222"/>
      <c r="O65" s="222"/>
      <c r="P65" s="222"/>
      <c r="Q65" s="222"/>
    </row>
    <row r="66" customFormat="false" ht="15" hidden="false" customHeight="false" outlineLevel="0" collapsed="false">
      <c r="C66" s="0" t="s">
        <v>482</v>
      </c>
      <c r="E66" s="104" t="s">
        <v>72</v>
      </c>
      <c r="G66" s="203" t="e">
        <f aca="false">G21+Land_value</f>
        <v>#NAME?</v>
      </c>
      <c r="J66" s="203" t="n">
        <v>0</v>
      </c>
      <c r="K66" s="203" t="n">
        <v>0</v>
      </c>
      <c r="L66" s="203" t="n">
        <v>0</v>
      </c>
      <c r="M66" s="203" t="n">
        <v>0</v>
      </c>
      <c r="N66" s="203" t="n">
        <v>0</v>
      </c>
      <c r="O66" s="203" t="n">
        <v>0</v>
      </c>
      <c r="P66" s="203" t="n">
        <v>0</v>
      </c>
      <c r="Q66" s="203" t="n">
        <v>0</v>
      </c>
    </row>
    <row r="67" customFormat="false" ht="15" hidden="false" customHeight="false" outlineLevel="0" collapsed="false">
      <c r="C67" s="0" t="s">
        <v>483</v>
      </c>
      <c r="E67" s="104" t="s">
        <v>69</v>
      </c>
      <c r="G67" s="223" t="e">
        <f aca="false">G66/G19</f>
        <v>#NAME?</v>
      </c>
      <c r="J67" s="223" t="n">
        <v>0</v>
      </c>
      <c r="K67" s="223" t="n">
        <v>0</v>
      </c>
      <c r="L67" s="223" t="n">
        <v>0</v>
      </c>
      <c r="M67" s="223" t="n">
        <v>0</v>
      </c>
      <c r="N67" s="223" t="n">
        <v>0</v>
      </c>
      <c r="O67" s="223" t="n">
        <v>0</v>
      </c>
      <c r="P67" s="223" t="n">
        <v>0</v>
      </c>
      <c r="Q67" s="223" t="n">
        <v>0</v>
      </c>
    </row>
  </sheetData>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B1:AL48"/>
  <sheetViews>
    <sheetView windowProtection="false"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I14" activeCellId="0" sqref="I14"/>
    </sheetView>
  </sheetViews>
  <sheetFormatPr defaultRowHeight="15"/>
  <cols>
    <col collapsed="false" hidden="false" max="2" min="1" style="0" width="8.89068825910931"/>
    <col collapsed="false" hidden="false" max="3" min="3" style="0" width="35.8866396761134"/>
    <col collapsed="false" hidden="false" max="7" min="4" style="0" width="8.89068825910931"/>
    <col collapsed="false" hidden="false" max="8" min="8" style="105" width="8.89068825910931"/>
    <col collapsed="false" hidden="false" max="39" min="9" style="0" width="8.89068825910931"/>
    <col collapsed="false" hidden="true" max="1025" min="40" style="0" width="0"/>
  </cols>
  <sheetData>
    <row r="1" customFormat="false" ht="15" hidden="false" customHeight="false" outlineLevel="0" collapsed="false">
      <c r="H1" s="0"/>
      <c r="I1" s="2" t="n">
        <f aca="false">'Cash Flow'!I1</f>
        <v>1</v>
      </c>
      <c r="J1" s="2" t="n">
        <f aca="false">'Cash Flow'!J1</f>
        <v>2</v>
      </c>
      <c r="K1" s="2" t="n">
        <f aca="false">'Cash Flow'!K1</f>
        <v>3</v>
      </c>
      <c r="L1" s="2" t="n">
        <f aca="false">'Cash Flow'!L1</f>
        <v>4</v>
      </c>
      <c r="M1" s="2" t="n">
        <f aca="false">'Cash Flow'!M1</f>
        <v>5</v>
      </c>
      <c r="N1" s="2" t="n">
        <f aca="false">'Cash Flow'!N1</f>
        <v>6</v>
      </c>
      <c r="O1" s="2" t="n">
        <f aca="false">'Cash Flow'!O1</f>
        <v>7</v>
      </c>
      <c r="P1" s="2" t="n">
        <f aca="false">'Cash Flow'!P1</f>
        <v>8</v>
      </c>
      <c r="Q1" s="2" t="n">
        <f aca="false">'Cash Flow'!Q1</f>
        <v>9</v>
      </c>
      <c r="R1" s="2" t="n">
        <f aca="false">'Cash Flow'!R1</f>
        <v>10</v>
      </c>
      <c r="S1" s="2" t="n">
        <f aca="false">'Cash Flow'!S1</f>
        <v>11</v>
      </c>
      <c r="T1" s="2" t="n">
        <f aca="false">'Cash Flow'!T1</f>
        <v>12</v>
      </c>
      <c r="U1" s="2" t="n">
        <f aca="false">'Cash Flow'!U1</f>
        <v>13</v>
      </c>
      <c r="V1" s="2" t="n">
        <f aca="false">'Cash Flow'!V1</f>
        <v>14</v>
      </c>
      <c r="W1" s="2" t="n">
        <f aca="false">'Cash Flow'!W1</f>
        <v>15</v>
      </c>
      <c r="X1" s="2" t="n">
        <f aca="false">'Cash Flow'!X1</f>
        <v>16</v>
      </c>
      <c r="Y1" s="2" t="n">
        <f aca="false">'Cash Flow'!Y1</f>
        <v>17</v>
      </c>
      <c r="Z1" s="2" t="n">
        <f aca="false">'Cash Flow'!Z1</f>
        <v>18</v>
      </c>
      <c r="AA1" s="2" t="n">
        <f aca="false">'Cash Flow'!AA1</f>
        <v>19</v>
      </c>
      <c r="AB1" s="2" t="n">
        <f aca="false">'Cash Flow'!AB1</f>
        <v>20</v>
      </c>
      <c r="AC1" s="2" t="n">
        <f aca="false">'Cash Flow'!AC1</f>
        <v>21</v>
      </c>
      <c r="AD1" s="2" t="n">
        <f aca="false">'Cash Flow'!AD1</f>
        <v>22</v>
      </c>
      <c r="AE1" s="2" t="n">
        <f aca="false">'Cash Flow'!AE1</f>
        <v>23</v>
      </c>
      <c r="AF1" s="2" t="n">
        <f aca="false">'Cash Flow'!AF1</f>
        <v>24</v>
      </c>
      <c r="AG1" s="2" t="n">
        <f aca="false">'Cash Flow'!AG1</f>
        <v>25</v>
      </c>
      <c r="AH1" s="2" t="n">
        <f aca="false">'Cash Flow'!AH1</f>
        <v>26</v>
      </c>
      <c r="AI1" s="2" t="n">
        <f aca="false">'Cash Flow'!AI1</f>
        <v>27</v>
      </c>
      <c r="AJ1" s="2" t="n">
        <f aca="false">'Cash Flow'!AJ1</f>
        <v>28</v>
      </c>
      <c r="AK1" s="2" t="n">
        <f aca="false">'Cash Flow'!AK1</f>
        <v>29</v>
      </c>
      <c r="AL1" s="2" t="n">
        <f aca="false">'Cash Flow'!AL1</f>
        <v>30</v>
      </c>
    </row>
    <row r="2" customFormat="false" ht="15" hidden="false" customHeight="false" outlineLevel="0" collapsed="false">
      <c r="H2" s="0"/>
    </row>
    <row r="3" customFormat="false" ht="15" hidden="false" customHeight="false" outlineLevel="0" collapsed="false">
      <c r="C3" s="0" t="str">
        <f aca="false">'Cash Flow'!C19</f>
        <v>Energy Produced</v>
      </c>
      <c r="E3" s="104" t="s">
        <v>46</v>
      </c>
      <c r="H3" s="0"/>
      <c r="I3" s="114" t="n">
        <f aca="false">'Cash Flow'!I19</f>
        <v>0</v>
      </c>
      <c r="J3" s="114" t="n">
        <f aca="false">'Cash Flow'!J19</f>
        <v>29506152.2706245</v>
      </c>
      <c r="K3" s="114" t="n">
        <f aca="false">'Cash Flow'!K19</f>
        <v>29358621.5092714</v>
      </c>
      <c r="L3" s="114" t="n">
        <f aca="false">'Cash Flow'!L19</f>
        <v>29211828.4017251</v>
      </c>
      <c r="M3" s="114" t="n">
        <f aca="false">'Cash Flow'!M19</f>
        <v>29065769.2597164</v>
      </c>
      <c r="N3" s="114" t="n">
        <f aca="false">'Cash Flow'!N19</f>
        <v>28920440.4134179</v>
      </c>
      <c r="O3" s="114" t="n">
        <f aca="false">'Cash Flow'!O19</f>
        <v>28775838.2113508</v>
      </c>
      <c r="P3" s="114" t="n">
        <f aca="false">'Cash Flow'!P19</f>
        <v>28631959.020294</v>
      </c>
      <c r="Q3" s="114" t="n">
        <f aca="false">'Cash Flow'!Q19</f>
        <v>28488799.2251925</v>
      </c>
      <c r="R3" s="114" t="n">
        <f aca="false">'Cash Flow'!R19</f>
        <v>28346355.2290666</v>
      </c>
      <c r="S3" s="114" t="n">
        <f aca="false">'Cash Flow'!S19</f>
        <v>28204623.4529212</v>
      </c>
      <c r="T3" s="114" t="n">
        <f aca="false">'Cash Flow'!T19</f>
        <v>28063600.3356566</v>
      </c>
      <c r="U3" s="114" t="n">
        <f aca="false">'Cash Flow'!U19</f>
        <v>27923282.3339784</v>
      </c>
      <c r="V3" s="114" t="n">
        <f aca="false">'Cash Flow'!V19</f>
        <v>27783665.9223085</v>
      </c>
      <c r="W3" s="114" t="n">
        <f aca="false">'Cash Flow'!W19</f>
        <v>27644747.5926969</v>
      </c>
      <c r="X3" s="114" t="n">
        <f aca="false">'Cash Flow'!X19</f>
        <v>27506523.8547334</v>
      </c>
      <c r="Y3" s="114" t="n">
        <f aca="false">'Cash Flow'!Y19</f>
        <v>27368991.2354598</v>
      </c>
      <c r="Z3" s="114" t="n">
        <f aca="false">'Cash Flow'!Z19</f>
        <v>27232146.2792825</v>
      </c>
      <c r="AA3" s="114" t="n">
        <f aca="false">'Cash Flow'!AA19</f>
        <v>27095985.5478861</v>
      </c>
      <c r="AB3" s="114" t="n">
        <f aca="false">'Cash Flow'!AB19</f>
        <v>26960505.6201466</v>
      </c>
      <c r="AC3" s="114" t="n">
        <f aca="false">'Cash Flow'!AC19</f>
        <v>26825703.0920459</v>
      </c>
      <c r="AD3" s="114" t="n">
        <f aca="false">'Cash Flow'!AD19</f>
        <v>0</v>
      </c>
      <c r="AE3" s="114" t="n">
        <f aca="false">'Cash Flow'!AE19</f>
        <v>0</v>
      </c>
      <c r="AF3" s="114" t="n">
        <f aca="false">'Cash Flow'!AF19</f>
        <v>0</v>
      </c>
      <c r="AG3" s="114" t="n">
        <f aca="false">'Cash Flow'!AG19</f>
        <v>0</v>
      </c>
      <c r="AH3" s="114" t="n">
        <f aca="false">'Cash Flow'!AH19</f>
        <v>0</v>
      </c>
      <c r="AI3" s="114" t="n">
        <f aca="false">'Cash Flow'!AI19</f>
        <v>0</v>
      </c>
      <c r="AJ3" s="114" t="n">
        <f aca="false">'Cash Flow'!AJ19</f>
        <v>0</v>
      </c>
      <c r="AK3" s="114" t="n">
        <f aca="false">'Cash Flow'!AK19</f>
        <v>0</v>
      </c>
      <c r="AL3" s="114" t="n">
        <f aca="false">'Cash Flow'!AL19</f>
        <v>0</v>
      </c>
    </row>
    <row r="4" customFormat="false" ht="15" hidden="false" customHeight="false" outlineLevel="0" collapsed="false">
      <c r="C4" s="0" t="str">
        <f aca="false">'Cash Flow'!C20</f>
        <v>PPA Tariff</v>
      </c>
      <c r="E4" s="104" t="s">
        <v>62</v>
      </c>
      <c r="H4" s="0"/>
      <c r="I4" s="116" t="str">
        <f aca="false">'Cash Flow'!I20</f>
        <v/>
      </c>
      <c r="J4" s="116" t="n">
        <f aca="false">'Cash Flow'!J20</f>
        <v>0.14</v>
      </c>
      <c r="K4" s="116" t="n">
        <f aca="false">'Cash Flow'!K20</f>
        <v>0.14</v>
      </c>
      <c r="L4" s="116" t="n">
        <f aca="false">'Cash Flow'!L20</f>
        <v>0.14</v>
      </c>
      <c r="M4" s="116" t="n">
        <f aca="false">'Cash Flow'!M20</f>
        <v>0.14</v>
      </c>
      <c r="N4" s="116" t="n">
        <f aca="false">'Cash Flow'!N20</f>
        <v>0.14</v>
      </c>
      <c r="O4" s="116" t="n">
        <f aca="false">'Cash Flow'!O20</f>
        <v>0.14</v>
      </c>
      <c r="P4" s="116" t="n">
        <f aca="false">'Cash Flow'!P20</f>
        <v>0.14</v>
      </c>
      <c r="Q4" s="116" t="n">
        <f aca="false">'Cash Flow'!Q20</f>
        <v>0.14</v>
      </c>
      <c r="R4" s="116" t="n">
        <f aca="false">'Cash Flow'!R20</f>
        <v>0.14</v>
      </c>
      <c r="S4" s="116" t="n">
        <f aca="false">'Cash Flow'!S20</f>
        <v>0.14</v>
      </c>
      <c r="T4" s="116" t="n">
        <f aca="false">'Cash Flow'!T20</f>
        <v>0.14</v>
      </c>
      <c r="U4" s="116" t="n">
        <f aca="false">'Cash Flow'!U20</f>
        <v>0.14</v>
      </c>
      <c r="V4" s="116" t="n">
        <f aca="false">'Cash Flow'!V20</f>
        <v>0.14</v>
      </c>
      <c r="W4" s="116" t="n">
        <f aca="false">'Cash Flow'!W20</f>
        <v>0.14</v>
      </c>
      <c r="X4" s="116" t="n">
        <f aca="false">'Cash Flow'!X20</f>
        <v>0.14</v>
      </c>
      <c r="Y4" s="116" t="n">
        <f aca="false">'Cash Flow'!Y20</f>
        <v>0.14</v>
      </c>
      <c r="Z4" s="116" t="n">
        <f aca="false">'Cash Flow'!Z20</f>
        <v>0.14</v>
      </c>
      <c r="AA4" s="116" t="n">
        <f aca="false">'Cash Flow'!AA20</f>
        <v>0.14</v>
      </c>
      <c r="AB4" s="116" t="n">
        <f aca="false">'Cash Flow'!AB20</f>
        <v>0.14</v>
      </c>
      <c r="AC4" s="116" t="n">
        <f aca="false">'Cash Flow'!AC20</f>
        <v>0.14</v>
      </c>
      <c r="AD4" s="116" t="str">
        <f aca="false">'Cash Flow'!AD20</f>
        <v/>
      </c>
      <c r="AE4" s="116" t="str">
        <f aca="false">'Cash Flow'!AE20</f>
        <v/>
      </c>
      <c r="AF4" s="116" t="str">
        <f aca="false">'Cash Flow'!AF20</f>
        <v/>
      </c>
      <c r="AG4" s="116" t="str">
        <f aca="false">'Cash Flow'!AG20</f>
        <v/>
      </c>
      <c r="AH4" s="116" t="str">
        <f aca="false">'Cash Flow'!AH20</f>
        <v/>
      </c>
      <c r="AI4" s="116" t="str">
        <f aca="false">'Cash Flow'!AI20</f>
        <v/>
      </c>
      <c r="AJ4" s="116" t="str">
        <f aca="false">'Cash Flow'!AJ20</f>
        <v/>
      </c>
      <c r="AK4" s="116" t="str">
        <f aca="false">'Cash Flow'!AK20</f>
        <v/>
      </c>
      <c r="AL4" s="116" t="str">
        <f aca="false">'Cash Flow'!AL20</f>
        <v/>
      </c>
    </row>
    <row r="5" customFormat="false" ht="15" hidden="false" customHeight="false" outlineLevel="0" collapsed="false">
      <c r="C5" s="117" t="str">
        <f aca="false">'Cash Flow'!C21</f>
        <v>Revenue</v>
      </c>
      <c r="D5" s="117"/>
      <c r="E5" s="118" t="s">
        <v>72</v>
      </c>
      <c r="F5" s="117"/>
      <c r="G5" s="117"/>
      <c r="H5" s="119"/>
      <c r="I5" s="125" t="n">
        <f aca="false">IFERROR(I4*I3,0)</f>
        <v>0</v>
      </c>
      <c r="J5" s="121" t="n">
        <f aca="false">IFERROR(J4*J3,0)</f>
        <v>4130861.31788744</v>
      </c>
      <c r="K5" s="121" t="n">
        <f aca="false">IFERROR(K4*K3,0)</f>
        <v>4110207.011298</v>
      </c>
      <c r="L5" s="121" t="n">
        <f aca="false">IFERROR(L4*L3,0)</f>
        <v>4089655.97624151</v>
      </c>
      <c r="M5" s="121" t="n">
        <f aca="false">IFERROR(M4*M3,0)</f>
        <v>4069207.6963603</v>
      </c>
      <c r="N5" s="121" t="n">
        <f aca="false">IFERROR(N4*N3,0)</f>
        <v>4048861.6578785</v>
      </c>
      <c r="O5" s="121" t="n">
        <f aca="false">IFERROR(O4*O3,0)</f>
        <v>4028617.34958911</v>
      </c>
      <c r="P5" s="121" t="n">
        <f aca="false">IFERROR(P4*P3,0)</f>
        <v>4008474.26284117</v>
      </c>
      <c r="Q5" s="121" t="n">
        <f aca="false">IFERROR(Q4*Q3,0)</f>
        <v>3988431.89152696</v>
      </c>
      <c r="R5" s="121" t="n">
        <f aca="false">IFERROR(R4*R3,0)</f>
        <v>3968489.73206932</v>
      </c>
      <c r="S5" s="121" t="n">
        <f aca="false">IFERROR(S4*S3,0)</f>
        <v>3948647.28340898</v>
      </c>
      <c r="T5" s="121" t="n">
        <f aca="false">IFERROR(T4*T3,0)</f>
        <v>3928904.04699193</v>
      </c>
      <c r="U5" s="121" t="n">
        <f aca="false">IFERROR(U4*U3,0)</f>
        <v>3909259.52675697</v>
      </c>
      <c r="V5" s="121" t="n">
        <f aca="false">IFERROR(V4*V3,0)</f>
        <v>3889713.22912319</v>
      </c>
      <c r="W5" s="121" t="n">
        <f aca="false">IFERROR(W4*W3,0)</f>
        <v>3870264.66297757</v>
      </c>
      <c r="X5" s="121" t="n">
        <f aca="false">IFERROR(X4*X3,0)</f>
        <v>3850913.33966268</v>
      </c>
      <c r="Y5" s="121" t="n">
        <f aca="false">IFERROR(Y4*Y3,0)</f>
        <v>3831658.77296437</v>
      </c>
      <c r="Z5" s="121" t="n">
        <f aca="false">IFERROR(Z4*Z3,0)</f>
        <v>3812500.47909955</v>
      </c>
      <c r="AA5" s="121" t="n">
        <f aca="false">IFERROR(AA4*AA3,0)</f>
        <v>3793437.97670405</v>
      </c>
      <c r="AB5" s="121" t="n">
        <f aca="false">IFERROR(AB4*AB3,0)</f>
        <v>3774470.78682053</v>
      </c>
      <c r="AC5" s="121" t="n">
        <f aca="false">IFERROR(AC4*AC3,0)</f>
        <v>3755598.43288643</v>
      </c>
      <c r="AD5" s="121" t="n">
        <f aca="false">IFERROR(AD4*AD3,0)</f>
        <v>0</v>
      </c>
      <c r="AE5" s="121" t="n">
        <f aca="false">IFERROR(AE4*AE3,0)</f>
        <v>0</v>
      </c>
      <c r="AF5" s="121" t="n">
        <f aca="false">IFERROR(AF4*AF3,0)</f>
        <v>0</v>
      </c>
      <c r="AG5" s="121" t="n">
        <f aca="false">IFERROR(AG4*AG3,0)</f>
        <v>0</v>
      </c>
      <c r="AH5" s="121" t="n">
        <f aca="false">IFERROR(AH4*AH3,0)</f>
        <v>0</v>
      </c>
      <c r="AI5" s="121" t="n">
        <f aca="false">IFERROR(AI4*AI3,0)</f>
        <v>0</v>
      </c>
      <c r="AJ5" s="121" t="n">
        <f aca="false">IFERROR(AJ4*AJ3,0)</f>
        <v>0</v>
      </c>
      <c r="AK5" s="121" t="n">
        <f aca="false">IFERROR(AK4*AK3,0)</f>
        <v>0</v>
      </c>
      <c r="AL5" s="121" t="n">
        <f aca="false">IFERROR(AL4*AL3,0)</f>
        <v>0</v>
      </c>
    </row>
    <row r="6" customFormat="false" ht="15" hidden="false" customHeight="false" outlineLevel="0" collapsed="false">
      <c r="E6" s="104"/>
      <c r="H6" s="0"/>
    </row>
    <row r="7" customFormat="false" ht="15" hidden="false" customHeight="false" outlineLevel="0" collapsed="false">
      <c r="C7" s="0" t="str">
        <f aca="false">'Cash Flow'!C23</f>
        <v>O&amp;M</v>
      </c>
      <c r="E7" s="104" t="s">
        <v>72</v>
      </c>
      <c r="H7" s="0"/>
      <c r="I7" s="122" t="n">
        <f aca="false">'Cash Flow'!I23</f>
        <v>0</v>
      </c>
      <c r="J7" s="122" t="n">
        <f aca="false">'Cash Flow'!J23</f>
        <v>-216300</v>
      </c>
      <c r="K7" s="122" t="n">
        <f aca="false">'Cash Flow'!K23</f>
        <v>-222789</v>
      </c>
      <c r="L7" s="122" t="n">
        <f aca="false">'Cash Flow'!L23</f>
        <v>-229472.67</v>
      </c>
      <c r="M7" s="122" t="n">
        <f aca="false">'Cash Flow'!M23</f>
        <v>-236356.8501</v>
      </c>
      <c r="N7" s="122" t="n">
        <f aca="false">'Cash Flow'!N23</f>
        <v>-243447.555603</v>
      </c>
      <c r="O7" s="122" t="n">
        <f aca="false">'Cash Flow'!O23</f>
        <v>-250750.98227109</v>
      </c>
      <c r="P7" s="122" t="n">
        <f aca="false">'Cash Flow'!P23</f>
        <v>-258273.511739223</v>
      </c>
      <c r="Q7" s="122" t="n">
        <f aca="false">'Cash Flow'!Q23</f>
        <v>-266021.717091399</v>
      </c>
      <c r="R7" s="122" t="n">
        <f aca="false">'Cash Flow'!R23</f>
        <v>-274002.368604141</v>
      </c>
      <c r="S7" s="122" t="n">
        <f aca="false">'Cash Flow'!S23</f>
        <v>-282222.439662266</v>
      </c>
      <c r="T7" s="122" t="n">
        <f aca="false">'Cash Flow'!T23</f>
        <v>-290689.112852134</v>
      </c>
      <c r="U7" s="122" t="n">
        <f aca="false">'Cash Flow'!U23</f>
        <v>-299409.786237698</v>
      </c>
      <c r="V7" s="122" t="n">
        <f aca="false">'Cash Flow'!V23</f>
        <v>-308392.079824828</v>
      </c>
      <c r="W7" s="122" t="n">
        <f aca="false">'Cash Flow'!W23</f>
        <v>-317643.842219573</v>
      </c>
      <c r="X7" s="122" t="n">
        <f aca="false">'Cash Flow'!X23</f>
        <v>-327173.157486161</v>
      </c>
      <c r="Y7" s="122" t="n">
        <f aca="false">'Cash Flow'!Y23</f>
        <v>-336988.352210745</v>
      </c>
      <c r="Z7" s="122" t="n">
        <f aca="false">'Cash Flow'!Z23</f>
        <v>-347098.002777068</v>
      </c>
      <c r="AA7" s="122" t="n">
        <f aca="false">'Cash Flow'!AA23</f>
        <v>-357510.94286038</v>
      </c>
      <c r="AB7" s="122" t="n">
        <f aca="false">'Cash Flow'!AB23</f>
        <v>-368236.271146191</v>
      </c>
      <c r="AC7" s="122" t="n">
        <f aca="false">'Cash Flow'!AC23</f>
        <v>-379283.359280577</v>
      </c>
      <c r="AD7" s="122" t="n">
        <f aca="false">'Cash Flow'!AD23</f>
        <v>0</v>
      </c>
      <c r="AE7" s="122" t="n">
        <f aca="false">'Cash Flow'!AE23</f>
        <v>0</v>
      </c>
      <c r="AF7" s="122" t="n">
        <f aca="false">'Cash Flow'!AF23</f>
        <v>0</v>
      </c>
      <c r="AG7" s="122" t="n">
        <f aca="false">'Cash Flow'!AG23</f>
        <v>0</v>
      </c>
      <c r="AH7" s="122" t="n">
        <f aca="false">'Cash Flow'!AH23</f>
        <v>0</v>
      </c>
      <c r="AI7" s="122" t="n">
        <f aca="false">'Cash Flow'!AI23</f>
        <v>0</v>
      </c>
      <c r="AJ7" s="122" t="n">
        <f aca="false">'Cash Flow'!AJ23</f>
        <v>0</v>
      </c>
      <c r="AK7" s="122" t="n">
        <f aca="false">'Cash Flow'!AK23</f>
        <v>0</v>
      </c>
      <c r="AL7" s="122" t="n">
        <f aca="false">'Cash Flow'!AL23</f>
        <v>0</v>
      </c>
    </row>
    <row r="8" customFormat="false" ht="15" hidden="false" customHeight="false" outlineLevel="0" collapsed="false">
      <c r="C8" s="0" t="str">
        <f aca="false">'Cash Flow'!C24</f>
        <v>Admin Cost</v>
      </c>
      <c r="E8" s="104" t="s">
        <v>72</v>
      </c>
      <c r="H8" s="0"/>
      <c r="I8" s="114" t="n">
        <f aca="false">'Cash Flow'!I24</f>
        <v>0</v>
      </c>
      <c r="J8" s="114" t="n">
        <f aca="false">'Cash Flow'!J24</f>
        <v>-51500</v>
      </c>
      <c r="K8" s="114" t="n">
        <f aca="false">'Cash Flow'!K24</f>
        <v>-53045</v>
      </c>
      <c r="L8" s="114" t="n">
        <f aca="false">'Cash Flow'!L24</f>
        <v>-54636.35</v>
      </c>
      <c r="M8" s="114" t="n">
        <f aca="false">'Cash Flow'!M24</f>
        <v>-56275.4405</v>
      </c>
      <c r="N8" s="114" t="n">
        <f aca="false">'Cash Flow'!N24</f>
        <v>-57963.703715</v>
      </c>
      <c r="O8" s="114" t="n">
        <f aca="false">'Cash Flow'!O24</f>
        <v>-59702.61482645</v>
      </c>
      <c r="P8" s="114" t="n">
        <f aca="false">'Cash Flow'!P24</f>
        <v>-61493.6932712435</v>
      </c>
      <c r="Q8" s="114" t="n">
        <f aca="false">'Cash Flow'!Q24</f>
        <v>-63338.5040693808</v>
      </c>
      <c r="R8" s="114" t="n">
        <f aca="false">'Cash Flow'!R24</f>
        <v>-65238.6591914622</v>
      </c>
      <c r="S8" s="114" t="n">
        <f aca="false">'Cash Flow'!S24</f>
        <v>-67195.8189672061</v>
      </c>
      <c r="T8" s="114" t="n">
        <f aca="false">'Cash Flow'!T24</f>
        <v>-69211.6935362223</v>
      </c>
      <c r="U8" s="114" t="n">
        <f aca="false">'Cash Flow'!U24</f>
        <v>-71288.0443423089</v>
      </c>
      <c r="V8" s="114" t="n">
        <f aca="false">'Cash Flow'!V24</f>
        <v>-73426.6856725782</v>
      </c>
      <c r="W8" s="114" t="n">
        <f aca="false">'Cash Flow'!W24</f>
        <v>-75629.4862427556</v>
      </c>
      <c r="X8" s="114" t="n">
        <f aca="false">'Cash Flow'!X24</f>
        <v>-77898.3708300382</v>
      </c>
      <c r="Y8" s="114" t="n">
        <f aca="false">'Cash Flow'!Y24</f>
        <v>-80235.3219549394</v>
      </c>
      <c r="Z8" s="114" t="n">
        <f aca="false">'Cash Flow'!Z24</f>
        <v>-82642.3816135875</v>
      </c>
      <c r="AA8" s="114" t="n">
        <f aca="false">'Cash Flow'!AA24</f>
        <v>-85121.6530619952</v>
      </c>
      <c r="AB8" s="114" t="n">
        <f aca="false">'Cash Flow'!AB24</f>
        <v>-87675.302653855</v>
      </c>
      <c r="AC8" s="114" t="n">
        <f aca="false">'Cash Flow'!AC24</f>
        <v>-90305.5617334707</v>
      </c>
      <c r="AD8" s="114" t="n">
        <f aca="false">'Cash Flow'!AD24</f>
        <v>0</v>
      </c>
      <c r="AE8" s="114" t="n">
        <f aca="false">'Cash Flow'!AE24</f>
        <v>0</v>
      </c>
      <c r="AF8" s="114" t="n">
        <f aca="false">'Cash Flow'!AF24</f>
        <v>0</v>
      </c>
      <c r="AG8" s="114" t="n">
        <f aca="false">'Cash Flow'!AG24</f>
        <v>0</v>
      </c>
      <c r="AH8" s="114" t="n">
        <f aca="false">'Cash Flow'!AH24</f>
        <v>0</v>
      </c>
      <c r="AI8" s="114" t="n">
        <f aca="false">'Cash Flow'!AI24</f>
        <v>0</v>
      </c>
      <c r="AJ8" s="114" t="n">
        <f aca="false">'Cash Flow'!AJ24</f>
        <v>0</v>
      </c>
      <c r="AK8" s="114" t="n">
        <f aca="false">'Cash Flow'!AK24</f>
        <v>0</v>
      </c>
      <c r="AL8" s="114" t="n">
        <f aca="false">'Cash Flow'!AL24</f>
        <v>0</v>
      </c>
    </row>
    <row r="9" customFormat="false" ht="15" hidden="false" customHeight="false" outlineLevel="0" collapsed="false">
      <c r="C9" s="0" t="str">
        <f aca="false">'Cash Flow'!C26</f>
        <v>Insurances</v>
      </c>
      <c r="E9" s="104" t="s">
        <v>72</v>
      </c>
      <c r="H9" s="0"/>
      <c r="I9" s="114" t="n">
        <f aca="false">'Cash Flow'!I26</f>
        <v>0</v>
      </c>
      <c r="J9" s="114" t="n">
        <f aca="false">'Cash Flow'!J26</f>
        <v>0</v>
      </c>
      <c r="K9" s="114" t="n">
        <f aca="false">'Cash Flow'!K26</f>
        <v>0</v>
      </c>
      <c r="L9" s="114" t="n">
        <f aca="false">'Cash Flow'!L26</f>
        <v>0</v>
      </c>
      <c r="M9" s="114" t="n">
        <f aca="false">'Cash Flow'!M26</f>
        <v>0</v>
      </c>
      <c r="N9" s="114" t="n">
        <f aca="false">'Cash Flow'!N26</f>
        <v>0</v>
      </c>
      <c r="O9" s="114" t="n">
        <f aca="false">'Cash Flow'!O26</f>
        <v>0</v>
      </c>
      <c r="P9" s="114" t="n">
        <f aca="false">'Cash Flow'!P26</f>
        <v>0</v>
      </c>
      <c r="Q9" s="114" t="n">
        <f aca="false">'Cash Flow'!Q26</f>
        <v>0</v>
      </c>
      <c r="R9" s="114" t="n">
        <f aca="false">'Cash Flow'!R26</f>
        <v>0</v>
      </c>
      <c r="S9" s="114" t="n">
        <f aca="false">'Cash Flow'!S26</f>
        <v>0</v>
      </c>
      <c r="T9" s="114" t="n">
        <f aca="false">'Cash Flow'!T26</f>
        <v>0</v>
      </c>
      <c r="U9" s="114" t="n">
        <f aca="false">'Cash Flow'!U26</f>
        <v>0</v>
      </c>
      <c r="V9" s="114" t="n">
        <f aca="false">'Cash Flow'!V26</f>
        <v>0</v>
      </c>
      <c r="W9" s="114" t="n">
        <f aca="false">'Cash Flow'!W26</f>
        <v>0</v>
      </c>
      <c r="X9" s="114" t="n">
        <f aca="false">'Cash Flow'!X26</f>
        <v>0</v>
      </c>
      <c r="Y9" s="114" t="n">
        <f aca="false">'Cash Flow'!Y26</f>
        <v>0</v>
      </c>
      <c r="Z9" s="114" t="n">
        <f aca="false">'Cash Flow'!Z26</f>
        <v>0</v>
      </c>
      <c r="AA9" s="114" t="n">
        <f aca="false">'Cash Flow'!AA26</f>
        <v>0</v>
      </c>
      <c r="AB9" s="114" t="n">
        <f aca="false">'Cash Flow'!AB26</f>
        <v>0</v>
      </c>
      <c r="AC9" s="114" t="n">
        <f aca="false">'Cash Flow'!AC26</f>
        <v>0</v>
      </c>
      <c r="AD9" s="114" t="n">
        <f aca="false">'Cash Flow'!AD26</f>
        <v>0</v>
      </c>
      <c r="AE9" s="114" t="n">
        <f aca="false">'Cash Flow'!AE26</f>
        <v>0</v>
      </c>
      <c r="AF9" s="114" t="n">
        <f aca="false">'Cash Flow'!AF26</f>
        <v>0</v>
      </c>
      <c r="AG9" s="114" t="n">
        <f aca="false">'Cash Flow'!AG26</f>
        <v>0</v>
      </c>
      <c r="AH9" s="114" t="n">
        <f aca="false">'Cash Flow'!AH26</f>
        <v>0</v>
      </c>
      <c r="AI9" s="114" t="n">
        <f aca="false">'Cash Flow'!AI26</f>
        <v>0</v>
      </c>
      <c r="AJ9" s="114" t="n">
        <f aca="false">'Cash Flow'!AJ26</f>
        <v>0</v>
      </c>
      <c r="AK9" s="114" t="n">
        <f aca="false">'Cash Flow'!AK26</f>
        <v>0</v>
      </c>
      <c r="AL9" s="114" t="n">
        <f aca="false">'Cash Flow'!AL26</f>
        <v>0</v>
      </c>
    </row>
    <row r="10" customFormat="false" ht="15" hidden="false" customHeight="false" outlineLevel="0" collapsed="false">
      <c r="C10" s="117" t="str">
        <f aca="false">'Cash Flow'!C27</f>
        <v>Total OPEX</v>
      </c>
      <c r="D10" s="117"/>
      <c r="E10" s="118" t="s">
        <v>72</v>
      </c>
      <c r="F10" s="117"/>
      <c r="G10" s="117"/>
      <c r="H10" s="119"/>
      <c r="I10" s="123" t="n">
        <f aca="false">SUM(I7:I9)</f>
        <v>0</v>
      </c>
      <c r="J10" s="124" t="n">
        <f aca="false">SUM(J7:J9)</f>
        <v>-267800</v>
      </c>
      <c r="K10" s="124" t="n">
        <f aca="false">SUM(K7:K9)</f>
        <v>-275834</v>
      </c>
      <c r="L10" s="124" t="n">
        <f aca="false">SUM(L7:L9)</f>
        <v>-284109.02</v>
      </c>
      <c r="M10" s="124" t="n">
        <f aca="false">SUM(M7:M9)</f>
        <v>-292632.2906</v>
      </c>
      <c r="N10" s="124" t="n">
        <f aca="false">SUM(N7:N9)</f>
        <v>-301411.259318</v>
      </c>
      <c r="O10" s="124" t="n">
        <f aca="false">SUM(O7:O9)</f>
        <v>-310453.59709754</v>
      </c>
      <c r="P10" s="124" t="n">
        <f aca="false">SUM(P7:P9)</f>
        <v>-319767.205010466</v>
      </c>
      <c r="Q10" s="124" t="n">
        <f aca="false">SUM(Q7:Q9)</f>
        <v>-329360.22116078</v>
      </c>
      <c r="R10" s="124" t="n">
        <f aca="false">SUM(R7:R9)</f>
        <v>-339241.027795604</v>
      </c>
      <c r="S10" s="124" t="n">
        <f aca="false">SUM(S7:S9)</f>
        <v>-349418.258629472</v>
      </c>
      <c r="T10" s="124" t="n">
        <f aca="false">SUM(T7:T9)</f>
        <v>-359900.806388356</v>
      </c>
      <c r="U10" s="124" t="n">
        <f aca="false">SUM(U7:U9)</f>
        <v>-370697.830580006</v>
      </c>
      <c r="V10" s="124" t="n">
        <f aca="false">SUM(V7:V9)</f>
        <v>-381818.765497407</v>
      </c>
      <c r="W10" s="124" t="n">
        <f aca="false">SUM(W7:W9)</f>
        <v>-393273.328462329</v>
      </c>
      <c r="X10" s="124" t="n">
        <f aca="false">SUM(X7:X9)</f>
        <v>-405071.528316199</v>
      </c>
      <c r="Y10" s="124" t="n">
        <f aca="false">SUM(Y7:Y9)</f>
        <v>-417223.674165685</v>
      </c>
      <c r="Z10" s="124" t="n">
        <f aca="false">SUM(Z7:Z9)</f>
        <v>-429740.384390655</v>
      </c>
      <c r="AA10" s="124" t="n">
        <f aca="false">SUM(AA7:AA9)</f>
        <v>-442632.595922375</v>
      </c>
      <c r="AB10" s="124" t="n">
        <f aca="false">SUM(AB7:AB9)</f>
        <v>-455911.573800046</v>
      </c>
      <c r="AC10" s="124" t="n">
        <f aca="false">SUM(AC7:AC9)</f>
        <v>-469588.921014048</v>
      </c>
      <c r="AD10" s="124" t="n">
        <f aca="false">SUM(AD7:AD9)</f>
        <v>0</v>
      </c>
      <c r="AE10" s="124" t="n">
        <f aca="false">SUM(AE7:AE9)</f>
        <v>0</v>
      </c>
      <c r="AF10" s="124" t="n">
        <f aca="false">SUM(AF7:AF9)</f>
        <v>0</v>
      </c>
      <c r="AG10" s="124" t="n">
        <f aca="false">SUM(AG7:AG9)</f>
        <v>0</v>
      </c>
      <c r="AH10" s="124" t="n">
        <f aca="false">SUM(AH7:AH9)</f>
        <v>0</v>
      </c>
      <c r="AI10" s="124" t="n">
        <f aca="false">SUM(AI7:AI9)</f>
        <v>0</v>
      </c>
      <c r="AJ10" s="124" t="n">
        <f aca="false">SUM(AJ7:AJ9)</f>
        <v>0</v>
      </c>
      <c r="AK10" s="124" t="n">
        <f aca="false">SUM(AK7:AK9)</f>
        <v>0</v>
      </c>
      <c r="AL10" s="124" t="n">
        <f aca="false">SUM(AL7:AL9)</f>
        <v>0</v>
      </c>
    </row>
    <row r="11" customFormat="false" ht="15" hidden="false" customHeight="false" outlineLevel="0" collapsed="false">
      <c r="E11" s="104"/>
      <c r="H11" s="0"/>
    </row>
    <row r="12" customFormat="false" ht="15" hidden="false" customHeight="false" outlineLevel="0" collapsed="false">
      <c r="C12" s="0" t="str">
        <f aca="false">'Cash Flow'!C29</f>
        <v>EBITDA</v>
      </c>
      <c r="E12" s="104" t="s">
        <v>72</v>
      </c>
      <c r="H12" s="0"/>
      <c r="I12" s="114" t="n">
        <f aca="false">'Cash Flow'!I29</f>
        <v>0</v>
      </c>
      <c r="J12" s="114" t="n">
        <f aca="false">'Cash Flow'!J29</f>
        <v>3816711.31788744</v>
      </c>
      <c r="K12" s="114" t="n">
        <f aca="false">'Cash Flow'!K29</f>
        <v>3786632.511298</v>
      </c>
      <c r="L12" s="114" t="n">
        <f aca="false">'Cash Flow'!L29</f>
        <v>3756374.24124151</v>
      </c>
      <c r="M12" s="114" t="n">
        <f aca="false">'Cash Flow'!M29</f>
        <v>3725927.5093103</v>
      </c>
      <c r="N12" s="114" t="n">
        <f aca="false">'Cash Flow'!N29</f>
        <v>3695283.065217</v>
      </c>
      <c r="O12" s="114" t="n">
        <f aca="false">'Cash Flow'!O29</f>
        <v>3664431.39914776</v>
      </c>
      <c r="P12" s="114" t="n">
        <f aca="false">'Cash Flow'!P29</f>
        <v>3633362.73388658</v>
      </c>
      <c r="Q12" s="114" t="n">
        <f aca="false">'Cash Flow'!Q29</f>
        <v>3602067.01670374</v>
      </c>
      <c r="R12" s="114" t="n">
        <f aca="false">'Cash Flow'!R29</f>
        <v>3570533.91100141</v>
      </c>
      <c r="S12" s="114" t="n">
        <f aca="false">'Cash Flow'!S29</f>
        <v>3538752.78770902</v>
      </c>
      <c r="T12" s="114" t="n">
        <f aca="false">'Cash Flow'!T29</f>
        <v>3506712.71642098</v>
      </c>
      <c r="U12" s="114" t="n">
        <f aca="false">'Cash Flow'!U29</f>
        <v>3474402.45626889</v>
      </c>
      <c r="V12" s="114" t="n">
        <f aca="false">'Cash Flow'!V29</f>
        <v>3441810.44652046</v>
      </c>
      <c r="W12" s="114" t="n">
        <f aca="false">'Cash Flow'!W29</f>
        <v>3408924.79689676</v>
      </c>
      <c r="X12" s="114" t="n">
        <f aca="false">'Cash Flow'!X29</f>
        <v>3375733.27759945</v>
      </c>
      <c r="Y12" s="114" t="n">
        <f aca="false">'Cash Flow'!Y29</f>
        <v>3342223.30903924</v>
      </c>
      <c r="Z12" s="114" t="n">
        <f aca="false">'Cash Flow'!Z29</f>
        <v>3308381.95125667</v>
      </c>
      <c r="AA12" s="114" t="n">
        <f aca="false">'Cash Flow'!AA29</f>
        <v>3274195.89302588</v>
      </c>
      <c r="AB12" s="114" t="n">
        <f aca="false">'Cash Flow'!AB29</f>
        <v>3239651.44063202</v>
      </c>
      <c r="AC12" s="114" t="n">
        <f aca="false">'Cash Flow'!AC29</f>
        <v>3204734.50631226</v>
      </c>
      <c r="AD12" s="114" t="n">
        <f aca="false">'Cash Flow'!AD29</f>
        <v>0</v>
      </c>
      <c r="AE12" s="114" t="n">
        <f aca="false">'Cash Flow'!AE29</f>
        <v>0</v>
      </c>
      <c r="AF12" s="114" t="n">
        <f aca="false">'Cash Flow'!AF29</f>
        <v>0</v>
      </c>
      <c r="AG12" s="114" t="n">
        <f aca="false">'Cash Flow'!AG29</f>
        <v>0</v>
      </c>
      <c r="AH12" s="114" t="n">
        <f aca="false">'Cash Flow'!AH29</f>
        <v>0</v>
      </c>
      <c r="AI12" s="114" t="n">
        <f aca="false">'Cash Flow'!AI29</f>
        <v>0</v>
      </c>
      <c r="AJ12" s="114" t="n">
        <f aca="false">'Cash Flow'!AJ29</f>
        <v>0</v>
      </c>
      <c r="AK12" s="114" t="n">
        <f aca="false">'Cash Flow'!AK29</f>
        <v>0</v>
      </c>
      <c r="AL12" s="114" t="n">
        <f aca="false">'Cash Flow'!AL29</f>
        <v>0</v>
      </c>
    </row>
    <row r="13" customFormat="false" ht="15" hidden="false" customHeight="false" outlineLevel="0" collapsed="false">
      <c r="C13" s="0" t="str">
        <f aca="false">'Cash Flow'!C30</f>
        <v>Depreciation</v>
      </c>
      <c r="E13" s="104" t="s">
        <v>72</v>
      </c>
      <c r="H13" s="0"/>
      <c r="I13" s="122" t="n">
        <f aca="false">'Cash Flow'!I30</f>
        <v>0</v>
      </c>
      <c r="J13" s="122" t="n">
        <f aca="false">'Cash Flow'!J30</f>
        <v>-1294155.04507814</v>
      </c>
      <c r="K13" s="122" t="n">
        <f aca="false">'Cash Flow'!K30</f>
        <v>-1294155.04507814</v>
      </c>
      <c r="L13" s="122" t="n">
        <f aca="false">'Cash Flow'!L30</f>
        <v>-1294155.04507814</v>
      </c>
      <c r="M13" s="122" t="n">
        <f aca="false">'Cash Flow'!M30</f>
        <v>-1294155.04507814</v>
      </c>
      <c r="N13" s="122" t="n">
        <f aca="false">'Cash Flow'!N30</f>
        <v>-1294155.04507814</v>
      </c>
      <c r="O13" s="122" t="n">
        <f aca="false">'Cash Flow'!O30</f>
        <v>-1294155.04507814</v>
      </c>
      <c r="P13" s="122" t="n">
        <f aca="false">'Cash Flow'!P30</f>
        <v>-1294155.04507814</v>
      </c>
      <c r="Q13" s="122" t="n">
        <f aca="false">'Cash Flow'!Q30</f>
        <v>-1294155.04507814</v>
      </c>
      <c r="R13" s="122" t="n">
        <f aca="false">'Cash Flow'!R30</f>
        <v>-1294155.04507814</v>
      </c>
      <c r="S13" s="122" t="n">
        <f aca="false">'Cash Flow'!S30</f>
        <v>-1294155.04507814</v>
      </c>
      <c r="T13" s="122" t="n">
        <f aca="false">'Cash Flow'!T30</f>
        <v>-1294155.04507814</v>
      </c>
      <c r="U13" s="122" t="n">
        <f aca="false">'Cash Flow'!U30</f>
        <v>-1294155.04507814</v>
      </c>
      <c r="V13" s="122" t="n">
        <f aca="false">'Cash Flow'!V30</f>
        <v>-1294155.04507814</v>
      </c>
      <c r="W13" s="122" t="n">
        <f aca="false">'Cash Flow'!W30</f>
        <v>-1294155.04507814</v>
      </c>
      <c r="X13" s="122" t="n">
        <f aca="false">'Cash Flow'!X30</f>
        <v>-1294155.04507814</v>
      </c>
      <c r="Y13" s="122" t="n">
        <f aca="false">'Cash Flow'!Y30</f>
        <v>-1294155.04507814</v>
      </c>
      <c r="Z13" s="122" t="n">
        <f aca="false">'Cash Flow'!Z30</f>
        <v>-1294155.04507814</v>
      </c>
      <c r="AA13" s="122" t="n">
        <f aca="false">'Cash Flow'!AA30</f>
        <v>-1294155.04507814</v>
      </c>
      <c r="AB13" s="122" t="n">
        <f aca="false">'Cash Flow'!AB30</f>
        <v>-1294155.04507814</v>
      </c>
      <c r="AC13" s="122" t="n">
        <f aca="false">'Cash Flow'!AC30</f>
        <v>-1294155.04507814</v>
      </c>
      <c r="AD13" s="122" t="n">
        <f aca="false">'Cash Flow'!AD30</f>
        <v>0</v>
      </c>
      <c r="AE13" s="122" t="n">
        <f aca="false">'Cash Flow'!AE30</f>
        <v>0</v>
      </c>
      <c r="AF13" s="122" t="n">
        <f aca="false">'Cash Flow'!AF30</f>
        <v>0</v>
      </c>
      <c r="AG13" s="122" t="n">
        <f aca="false">'Cash Flow'!AG30</f>
        <v>0</v>
      </c>
      <c r="AH13" s="122" t="n">
        <f aca="false">'Cash Flow'!AH30</f>
        <v>0</v>
      </c>
      <c r="AI13" s="122" t="n">
        <f aca="false">'Cash Flow'!AI30</f>
        <v>0</v>
      </c>
      <c r="AJ13" s="122" t="n">
        <f aca="false">'Cash Flow'!AJ30</f>
        <v>0</v>
      </c>
      <c r="AK13" s="122" t="n">
        <f aca="false">'Cash Flow'!AK30</f>
        <v>0</v>
      </c>
      <c r="AL13" s="122" t="n">
        <f aca="false">'Cash Flow'!AL30</f>
        <v>0</v>
      </c>
    </row>
    <row r="14" customFormat="false" ht="15" hidden="false" customHeight="false" outlineLevel="0" collapsed="false">
      <c r="C14" s="0" t="str">
        <f aca="false">'Cash Flow'!C31</f>
        <v>MIGA Premium Expense</v>
      </c>
      <c r="E14" s="104" t="s">
        <v>72</v>
      </c>
      <c r="H14" s="0"/>
      <c r="I14" s="122" t="e">
        <f aca="false">'Cash Flow'!I31</f>
        <v>#VALUE!</v>
      </c>
      <c r="J14" s="122" t="e">
        <f aca="false">'Cash Flow'!J31</f>
        <v>#VALUE!</v>
      </c>
      <c r="K14" s="122" t="e">
        <f aca="false">'Cash Flow'!K31</f>
        <v>#VALUE!</v>
      </c>
      <c r="L14" s="122" t="e">
        <f aca="false">'Cash Flow'!L31</f>
        <v>#VALUE!</v>
      </c>
      <c r="M14" s="122" t="e">
        <f aca="false">'Cash Flow'!M31</f>
        <v>#VALUE!</v>
      </c>
      <c r="N14" s="122" t="e">
        <f aca="false">'Cash Flow'!N31</f>
        <v>#VALUE!</v>
      </c>
      <c r="O14" s="122" t="e">
        <f aca="false">'Cash Flow'!O31</f>
        <v>#VALUE!</v>
      </c>
      <c r="P14" s="122" t="e">
        <f aca="false">'Cash Flow'!P31</f>
        <v>#VALUE!</v>
      </c>
      <c r="Q14" s="122" t="e">
        <f aca="false">'Cash Flow'!Q31</f>
        <v>#VALUE!</v>
      </c>
      <c r="R14" s="122" t="e">
        <f aca="false">'Cash Flow'!R31</f>
        <v>#VALUE!</v>
      </c>
      <c r="S14" s="122" t="e">
        <f aca="false">'Cash Flow'!S31</f>
        <v>#VALUE!</v>
      </c>
      <c r="T14" s="122" t="e">
        <f aca="false">'Cash Flow'!T31</f>
        <v>#VALUE!</v>
      </c>
      <c r="U14" s="122" t="e">
        <f aca="false">'Cash Flow'!U31</f>
        <v>#VALUE!</v>
      </c>
      <c r="V14" s="122" t="e">
        <f aca="false">'Cash Flow'!V31</f>
        <v>#VALUE!</v>
      </c>
      <c r="W14" s="122" t="e">
        <f aca="false">'Cash Flow'!W31</f>
        <v>#VALUE!</v>
      </c>
      <c r="X14" s="122" t="e">
        <f aca="false">'Cash Flow'!X31</f>
        <v>#VALUE!</v>
      </c>
      <c r="Y14" s="122" t="e">
        <f aca="false">'Cash Flow'!Y31</f>
        <v>#VALUE!</v>
      </c>
      <c r="Z14" s="122" t="e">
        <f aca="false">'Cash Flow'!Z31</f>
        <v>#VALUE!</v>
      </c>
      <c r="AA14" s="122" t="e">
        <f aca="false">'Cash Flow'!AA31</f>
        <v>#VALUE!</v>
      </c>
      <c r="AB14" s="122" t="e">
        <f aca="false">'Cash Flow'!AB31</f>
        <v>#VALUE!</v>
      </c>
      <c r="AC14" s="122" t="e">
        <f aca="false">'Cash Flow'!AC31</f>
        <v>#VALUE!</v>
      </c>
      <c r="AD14" s="122" t="e">
        <f aca="false">'Cash Flow'!AD31</f>
        <v>#VALUE!</v>
      </c>
      <c r="AE14" s="122" t="e">
        <f aca="false">'Cash Flow'!AE31</f>
        <v>#VALUE!</v>
      </c>
      <c r="AF14" s="122" t="e">
        <f aca="false">'Cash Flow'!AF31</f>
        <v>#VALUE!</v>
      </c>
      <c r="AG14" s="122" t="e">
        <f aca="false">'Cash Flow'!AG31</f>
        <v>#VALUE!</v>
      </c>
      <c r="AH14" s="122" t="e">
        <f aca="false">'Cash Flow'!AH31</f>
        <v>#VALUE!</v>
      </c>
      <c r="AI14" s="122" t="e">
        <f aca="false">'Cash Flow'!AI31</f>
        <v>#VALUE!</v>
      </c>
      <c r="AJ14" s="122" t="e">
        <f aca="false">'Cash Flow'!AJ31</f>
        <v>#VALUE!</v>
      </c>
      <c r="AK14" s="122" t="e">
        <f aca="false">'Cash Flow'!AK31</f>
        <v>#VALUE!</v>
      </c>
      <c r="AL14" s="122" t="e">
        <f aca="false">'Cash Flow'!AL31</f>
        <v>#VALUE!</v>
      </c>
    </row>
    <row r="15" customFormat="false" ht="15" hidden="false" customHeight="false" outlineLevel="0" collapsed="false">
      <c r="C15" s="0" t="str">
        <f aca="false">'Cash Flow'!C32</f>
        <v>Interest Expense</v>
      </c>
      <c r="E15" s="104" t="s">
        <v>72</v>
      </c>
      <c r="H15" s="0"/>
      <c r="I15" s="122" t="n">
        <f aca="false">'Cash Flow'!I32</f>
        <v>0</v>
      </c>
      <c r="J15" s="122" t="e">
        <f aca="false">'Cash Flow'!J32</f>
        <v>#VALUE!</v>
      </c>
      <c r="K15" s="122" t="e">
        <f aca="false">'Cash Flow'!K32</f>
        <v>#VALUE!</v>
      </c>
      <c r="L15" s="122" t="e">
        <f aca="false">'Cash Flow'!L32</f>
        <v>#VALUE!</v>
      </c>
      <c r="M15" s="122" t="e">
        <f aca="false">'Cash Flow'!M32</f>
        <v>#VALUE!</v>
      </c>
      <c r="N15" s="122" t="e">
        <f aca="false">'Cash Flow'!N32</f>
        <v>#VALUE!</v>
      </c>
      <c r="O15" s="122" t="e">
        <f aca="false">'Cash Flow'!O32</f>
        <v>#VALUE!</v>
      </c>
      <c r="P15" s="122" t="e">
        <f aca="false">'Cash Flow'!P32</f>
        <v>#VALUE!</v>
      </c>
      <c r="Q15" s="122" t="e">
        <f aca="false">'Cash Flow'!Q32</f>
        <v>#VALUE!</v>
      </c>
      <c r="R15" s="122" t="e">
        <f aca="false">'Cash Flow'!R32</f>
        <v>#VALUE!</v>
      </c>
      <c r="S15" s="122" t="e">
        <f aca="false">'Cash Flow'!S32</f>
        <v>#VALUE!</v>
      </c>
      <c r="T15" s="122" t="e">
        <f aca="false">'Cash Flow'!T32</f>
        <v>#VALUE!</v>
      </c>
      <c r="U15" s="122" t="e">
        <f aca="false">'Cash Flow'!U32</f>
        <v>#VALUE!</v>
      </c>
      <c r="V15" s="122" t="e">
        <f aca="false">'Cash Flow'!V32</f>
        <v>#VALUE!</v>
      </c>
      <c r="W15" s="122" t="e">
        <f aca="false">'Cash Flow'!W32</f>
        <v>#VALUE!</v>
      </c>
      <c r="X15" s="122" t="e">
        <f aca="false">'Cash Flow'!X32</f>
        <v>#VALUE!</v>
      </c>
      <c r="Y15" s="122" t="e">
        <f aca="false">'Cash Flow'!Y32</f>
        <v>#VALUE!</v>
      </c>
      <c r="Z15" s="122" t="e">
        <f aca="false">'Cash Flow'!Z32</f>
        <v>#VALUE!</v>
      </c>
      <c r="AA15" s="122" t="e">
        <f aca="false">'Cash Flow'!AA32</f>
        <v>#VALUE!</v>
      </c>
      <c r="AB15" s="122" t="e">
        <f aca="false">'Cash Flow'!AB32</f>
        <v>#VALUE!</v>
      </c>
      <c r="AC15" s="122" t="e">
        <f aca="false">'Cash Flow'!AC32</f>
        <v>#VALUE!</v>
      </c>
      <c r="AD15" s="122" t="e">
        <f aca="false">'Cash Flow'!AD32</f>
        <v>#VALUE!</v>
      </c>
      <c r="AE15" s="122" t="e">
        <f aca="false">'Cash Flow'!AE32</f>
        <v>#VALUE!</v>
      </c>
      <c r="AF15" s="122" t="e">
        <f aca="false">'Cash Flow'!AF32</f>
        <v>#VALUE!</v>
      </c>
      <c r="AG15" s="122" t="e">
        <f aca="false">'Cash Flow'!AG32</f>
        <v>#VALUE!</v>
      </c>
      <c r="AH15" s="122" t="e">
        <f aca="false">'Cash Flow'!AH32</f>
        <v>#VALUE!</v>
      </c>
      <c r="AI15" s="122" t="e">
        <f aca="false">'Cash Flow'!AI32</f>
        <v>#VALUE!</v>
      </c>
      <c r="AJ15" s="122" t="e">
        <f aca="false">'Cash Flow'!AJ32</f>
        <v>#VALUE!</v>
      </c>
      <c r="AK15" s="122" t="e">
        <f aca="false">'Cash Flow'!AK32</f>
        <v>#VALUE!</v>
      </c>
      <c r="AL15" s="122" t="e">
        <f aca="false">'Cash Flow'!AL32</f>
        <v>#VALUE!</v>
      </c>
    </row>
    <row r="16" customFormat="false" ht="15" hidden="false" customHeight="false" outlineLevel="0" collapsed="false">
      <c r="C16" s="117" t="str">
        <f aca="false">'Cash Flow'!C33</f>
        <v>Profit Before Tax</v>
      </c>
      <c r="D16" s="117"/>
      <c r="E16" s="118" t="s">
        <v>72</v>
      </c>
      <c r="F16" s="117"/>
      <c r="G16" s="117"/>
      <c r="H16" s="119"/>
      <c r="I16" s="125" t="e">
        <f aca="false">SUM(I12:I15)</f>
        <v>#VALUE!</v>
      </c>
      <c r="J16" s="121" t="e">
        <f aca="false">SUM(J12:J15)</f>
        <v>#VALUE!</v>
      </c>
      <c r="K16" s="121" t="e">
        <f aca="false">SUM(K12:K15)</f>
        <v>#VALUE!</v>
      </c>
      <c r="L16" s="121" t="e">
        <f aca="false">SUM(L12:L15)</f>
        <v>#VALUE!</v>
      </c>
      <c r="M16" s="121" t="e">
        <f aca="false">SUM(M12:M15)</f>
        <v>#VALUE!</v>
      </c>
      <c r="N16" s="121" t="e">
        <f aca="false">SUM(N12:N15)</f>
        <v>#VALUE!</v>
      </c>
      <c r="O16" s="121" t="e">
        <f aca="false">SUM(O12:O15)</f>
        <v>#VALUE!</v>
      </c>
      <c r="P16" s="121" t="e">
        <f aca="false">SUM(P12:P15)</f>
        <v>#VALUE!</v>
      </c>
      <c r="Q16" s="121" t="e">
        <f aca="false">SUM(Q12:Q15)</f>
        <v>#VALUE!</v>
      </c>
      <c r="R16" s="121" t="e">
        <f aca="false">SUM(R12:R15)</f>
        <v>#VALUE!</v>
      </c>
      <c r="S16" s="121" t="e">
        <f aca="false">SUM(S12:S15)</f>
        <v>#VALUE!</v>
      </c>
      <c r="T16" s="121" t="e">
        <f aca="false">SUM(T12:T15)</f>
        <v>#VALUE!</v>
      </c>
      <c r="U16" s="121" t="e">
        <f aca="false">SUM(U12:U15)</f>
        <v>#VALUE!</v>
      </c>
      <c r="V16" s="121" t="e">
        <f aca="false">SUM(V12:V15)</f>
        <v>#VALUE!</v>
      </c>
      <c r="W16" s="121" t="e">
        <f aca="false">SUM(W12:W15)</f>
        <v>#VALUE!</v>
      </c>
      <c r="X16" s="121" t="e">
        <f aca="false">SUM(X12:X15)</f>
        <v>#VALUE!</v>
      </c>
      <c r="Y16" s="121" t="e">
        <f aca="false">SUM(Y12:Y15)</f>
        <v>#VALUE!</v>
      </c>
      <c r="Z16" s="121" t="e">
        <f aca="false">SUM(Z12:Z15)</f>
        <v>#VALUE!</v>
      </c>
      <c r="AA16" s="121" t="e">
        <f aca="false">SUM(AA12:AA15)</f>
        <v>#VALUE!</v>
      </c>
      <c r="AB16" s="121" t="e">
        <f aca="false">SUM(AB12:AB15)</f>
        <v>#VALUE!</v>
      </c>
      <c r="AC16" s="121" t="e">
        <f aca="false">SUM(AC12:AC15)</f>
        <v>#VALUE!</v>
      </c>
      <c r="AD16" s="121" t="e">
        <f aca="false">SUM(AD12:AD15)</f>
        <v>#VALUE!</v>
      </c>
      <c r="AE16" s="121" t="e">
        <f aca="false">SUM(AE12:AE15)</f>
        <v>#VALUE!</v>
      </c>
      <c r="AF16" s="121" t="e">
        <f aca="false">SUM(AF12:AF15)</f>
        <v>#VALUE!</v>
      </c>
      <c r="AG16" s="121" t="e">
        <f aca="false">SUM(AG12:AG15)</f>
        <v>#VALUE!</v>
      </c>
      <c r="AH16" s="121" t="e">
        <f aca="false">SUM(AH12:AH15)</f>
        <v>#VALUE!</v>
      </c>
      <c r="AI16" s="121" t="e">
        <f aca="false">SUM(AI12:AI15)</f>
        <v>#VALUE!</v>
      </c>
      <c r="AJ16" s="121" t="e">
        <f aca="false">SUM(AJ12:AJ15)</f>
        <v>#VALUE!</v>
      </c>
      <c r="AK16" s="121" t="e">
        <f aca="false">SUM(AK12:AK15)</f>
        <v>#VALUE!</v>
      </c>
      <c r="AL16" s="121" t="e">
        <f aca="false">SUM(AL12:AL15)</f>
        <v>#VALUE!</v>
      </c>
    </row>
    <row r="17" customFormat="false" ht="15" hidden="false" customHeight="false" outlineLevel="0" collapsed="false">
      <c r="H17" s="0"/>
    </row>
    <row r="18" customFormat="false" ht="15" hidden="false" customHeight="false" outlineLevel="0" collapsed="false">
      <c r="C18" s="0" t="str">
        <f aca="false">'Cash Flow'!C42</f>
        <v>Income Tax</v>
      </c>
      <c r="E18" s="104" t="s">
        <v>72</v>
      </c>
      <c r="H18" s="0"/>
      <c r="I18" s="114" t="e">
        <f aca="false">'Cash Flow'!I42</f>
        <v>#VALUE!</v>
      </c>
      <c r="J18" s="114" t="e">
        <f aca="false">'Cash Flow'!J42</f>
        <v>#VALUE!</v>
      </c>
      <c r="K18" s="114" t="e">
        <f aca="false">'Cash Flow'!K42</f>
        <v>#VALUE!</v>
      </c>
      <c r="L18" s="114" t="e">
        <f aca="false">'Cash Flow'!L42</f>
        <v>#VALUE!</v>
      </c>
      <c r="M18" s="114" t="e">
        <f aca="false">'Cash Flow'!M42</f>
        <v>#VALUE!</v>
      </c>
      <c r="N18" s="114" t="e">
        <f aca="false">'Cash Flow'!N42</f>
        <v>#VALUE!</v>
      </c>
      <c r="O18" s="114" t="e">
        <f aca="false">'Cash Flow'!O42</f>
        <v>#VALUE!</v>
      </c>
      <c r="P18" s="114" t="e">
        <f aca="false">'Cash Flow'!P42</f>
        <v>#VALUE!</v>
      </c>
      <c r="Q18" s="114" t="e">
        <f aca="false">'Cash Flow'!Q42</f>
        <v>#VALUE!</v>
      </c>
      <c r="R18" s="114" t="e">
        <f aca="false">'Cash Flow'!R42</f>
        <v>#VALUE!</v>
      </c>
      <c r="S18" s="114" t="e">
        <f aca="false">'Cash Flow'!S42</f>
        <v>#VALUE!</v>
      </c>
      <c r="T18" s="114" t="e">
        <f aca="false">'Cash Flow'!T42</f>
        <v>#VALUE!</v>
      </c>
      <c r="U18" s="114" t="e">
        <f aca="false">'Cash Flow'!U42</f>
        <v>#VALUE!</v>
      </c>
      <c r="V18" s="114" t="e">
        <f aca="false">'Cash Flow'!V42</f>
        <v>#VALUE!</v>
      </c>
      <c r="W18" s="114" t="e">
        <f aca="false">'Cash Flow'!W42</f>
        <v>#VALUE!</v>
      </c>
      <c r="X18" s="114" t="e">
        <f aca="false">'Cash Flow'!X42</f>
        <v>#VALUE!</v>
      </c>
      <c r="Y18" s="114" t="e">
        <f aca="false">'Cash Flow'!Y42</f>
        <v>#VALUE!</v>
      </c>
      <c r="Z18" s="114" t="e">
        <f aca="false">'Cash Flow'!Z42</f>
        <v>#VALUE!</v>
      </c>
      <c r="AA18" s="114" t="e">
        <f aca="false">'Cash Flow'!AA42</f>
        <v>#VALUE!</v>
      </c>
      <c r="AB18" s="114" t="e">
        <f aca="false">'Cash Flow'!AB42</f>
        <v>#VALUE!</v>
      </c>
      <c r="AC18" s="114" t="e">
        <f aca="false">'Cash Flow'!AC42</f>
        <v>#VALUE!</v>
      </c>
      <c r="AD18" s="114" t="e">
        <f aca="false">'Cash Flow'!AD42</f>
        <v>#VALUE!</v>
      </c>
      <c r="AE18" s="114" t="e">
        <f aca="false">'Cash Flow'!AE42</f>
        <v>#VALUE!</v>
      </c>
      <c r="AF18" s="114" t="e">
        <f aca="false">'Cash Flow'!AF42</f>
        <v>#VALUE!</v>
      </c>
      <c r="AG18" s="114" t="e">
        <f aca="false">'Cash Flow'!AG42</f>
        <v>#VALUE!</v>
      </c>
      <c r="AH18" s="114" t="e">
        <f aca="false">'Cash Flow'!AH42</f>
        <v>#VALUE!</v>
      </c>
      <c r="AI18" s="114" t="e">
        <f aca="false">'Cash Flow'!AI42</f>
        <v>#VALUE!</v>
      </c>
      <c r="AJ18" s="114" t="e">
        <f aca="false">'Cash Flow'!AJ42</f>
        <v>#VALUE!</v>
      </c>
      <c r="AK18" s="114" t="e">
        <f aca="false">'Cash Flow'!AK42</f>
        <v>#VALUE!</v>
      </c>
      <c r="AL18" s="114" t="e">
        <f aca="false">'Cash Flow'!AL42</f>
        <v>#VALUE!</v>
      </c>
    </row>
    <row r="19" customFormat="false" ht="15" hidden="false" customHeight="false" outlineLevel="0" collapsed="false">
      <c r="C19" s="117" t="str">
        <f aca="false">'Cash Flow'!C43</f>
        <v>Profit After Tax</v>
      </c>
      <c r="D19" s="117"/>
      <c r="E19" s="118" t="s">
        <v>72</v>
      </c>
      <c r="F19" s="117"/>
      <c r="G19" s="117"/>
      <c r="H19" s="119"/>
      <c r="I19" s="125" t="e">
        <f aca="false">'Cash Flow'!I43</f>
        <v>#VALUE!</v>
      </c>
      <c r="J19" s="125" t="e">
        <f aca="false">'Cash Flow'!J43</f>
        <v>#VALUE!</v>
      </c>
      <c r="K19" s="125" t="e">
        <f aca="false">'Cash Flow'!K43</f>
        <v>#VALUE!</v>
      </c>
      <c r="L19" s="125" t="e">
        <f aca="false">'Cash Flow'!L43</f>
        <v>#VALUE!</v>
      </c>
      <c r="M19" s="125" t="e">
        <f aca="false">'Cash Flow'!M43</f>
        <v>#VALUE!</v>
      </c>
      <c r="N19" s="125" t="e">
        <f aca="false">'Cash Flow'!N43</f>
        <v>#VALUE!</v>
      </c>
      <c r="O19" s="125" t="e">
        <f aca="false">'Cash Flow'!O43</f>
        <v>#VALUE!</v>
      </c>
      <c r="P19" s="125" t="e">
        <f aca="false">'Cash Flow'!P43</f>
        <v>#VALUE!</v>
      </c>
      <c r="Q19" s="125" t="e">
        <f aca="false">'Cash Flow'!Q43</f>
        <v>#VALUE!</v>
      </c>
      <c r="R19" s="125" t="e">
        <f aca="false">'Cash Flow'!R43</f>
        <v>#VALUE!</v>
      </c>
      <c r="S19" s="125" t="e">
        <f aca="false">'Cash Flow'!S43</f>
        <v>#VALUE!</v>
      </c>
      <c r="T19" s="125" t="e">
        <f aca="false">'Cash Flow'!T43</f>
        <v>#VALUE!</v>
      </c>
      <c r="U19" s="125" t="e">
        <f aca="false">'Cash Flow'!U43</f>
        <v>#VALUE!</v>
      </c>
      <c r="V19" s="125" t="e">
        <f aca="false">'Cash Flow'!V43</f>
        <v>#VALUE!</v>
      </c>
      <c r="W19" s="125" t="e">
        <f aca="false">'Cash Flow'!W43</f>
        <v>#VALUE!</v>
      </c>
      <c r="X19" s="125" t="e">
        <f aca="false">'Cash Flow'!X43</f>
        <v>#VALUE!</v>
      </c>
      <c r="Y19" s="125" t="e">
        <f aca="false">'Cash Flow'!Y43</f>
        <v>#VALUE!</v>
      </c>
      <c r="Z19" s="125" t="e">
        <f aca="false">'Cash Flow'!Z43</f>
        <v>#VALUE!</v>
      </c>
      <c r="AA19" s="125" t="e">
        <f aca="false">'Cash Flow'!AA43</f>
        <v>#VALUE!</v>
      </c>
      <c r="AB19" s="125" t="e">
        <f aca="false">'Cash Flow'!AB43</f>
        <v>#VALUE!</v>
      </c>
      <c r="AC19" s="125" t="e">
        <f aca="false">'Cash Flow'!AC43</f>
        <v>#VALUE!</v>
      </c>
      <c r="AD19" s="125" t="e">
        <f aca="false">'Cash Flow'!AD43</f>
        <v>#VALUE!</v>
      </c>
      <c r="AE19" s="125" t="e">
        <f aca="false">'Cash Flow'!AE43</f>
        <v>#VALUE!</v>
      </c>
      <c r="AF19" s="125" t="e">
        <f aca="false">'Cash Flow'!AF43</f>
        <v>#VALUE!</v>
      </c>
      <c r="AG19" s="125" t="e">
        <f aca="false">'Cash Flow'!AG43</f>
        <v>#VALUE!</v>
      </c>
      <c r="AH19" s="125" t="e">
        <f aca="false">'Cash Flow'!AH43</f>
        <v>#VALUE!</v>
      </c>
      <c r="AI19" s="125" t="e">
        <f aca="false">'Cash Flow'!AI43</f>
        <v>#VALUE!</v>
      </c>
      <c r="AJ19" s="125" t="e">
        <f aca="false">'Cash Flow'!AJ43</f>
        <v>#VALUE!</v>
      </c>
      <c r="AK19" s="125" t="e">
        <f aca="false">'Cash Flow'!AK43</f>
        <v>#VALUE!</v>
      </c>
      <c r="AL19" s="125" t="e">
        <f aca="false">'Cash Flow'!AL43</f>
        <v>#VALUE!</v>
      </c>
    </row>
    <row r="22" customFormat="false" ht="15" hidden="false" customHeight="false" outlineLevel="0" collapsed="false">
      <c r="C22" s="2" t="s">
        <v>484</v>
      </c>
    </row>
    <row r="23" customFormat="false" ht="15" hidden="false" customHeight="false" outlineLevel="0" collapsed="false">
      <c r="C23" s="0" t="str">
        <f aca="false">Funding!C35</f>
        <v>Total Hard Cost CAPEX</v>
      </c>
      <c r="E23" s="104" t="s">
        <v>72</v>
      </c>
      <c r="G23" s="133" t="n">
        <f aca="false">Funding!G35</f>
        <v>24210000</v>
      </c>
    </row>
    <row r="24" customFormat="false" ht="15" hidden="false" customHeight="false" outlineLevel="0" collapsed="false">
      <c r="C24" s="0" t="str">
        <f aca="false">Funding!C36</f>
        <v>MIGA</v>
      </c>
      <c r="E24" s="104" t="s">
        <v>72</v>
      </c>
      <c r="G24" s="133" t="n">
        <f aca="false">Funding!G36</f>
        <v>46060.9479693209</v>
      </c>
    </row>
    <row r="25" customFormat="false" ht="15" hidden="false" customHeight="false" outlineLevel="0" collapsed="false">
      <c r="C25" s="0" t="str">
        <f aca="false">Funding!C37</f>
        <v>1st year Working Capital</v>
      </c>
      <c r="E25" s="104" t="s">
        <v>72</v>
      </c>
      <c r="G25" s="133" t="n">
        <f aca="false">Funding!G37</f>
        <v>509284.272068314</v>
      </c>
    </row>
    <row r="26" customFormat="false" ht="15" hidden="false" customHeight="false" outlineLevel="0" collapsed="false">
      <c r="C26" s="0" t="str">
        <f aca="false">Funding!C38</f>
        <v>Debt Service Reserve Account (DSRA)</v>
      </c>
      <c r="E26" s="104" t="s">
        <v>72</v>
      </c>
      <c r="G26" s="133" t="n">
        <f aca="false">Funding!G38</f>
        <v>1268562.27647766</v>
      </c>
    </row>
    <row r="27" customFormat="false" ht="15" hidden="false" customHeight="false" outlineLevel="0" collapsed="false">
      <c r="C27" s="0" t="str">
        <f aca="false">Funding!C39</f>
        <v>Maintenance Reserve Account (MRA)</v>
      </c>
      <c r="E27" s="104" t="s">
        <v>72</v>
      </c>
      <c r="G27" s="133" t="n">
        <f aca="false">Funding!G39</f>
        <v>344238.443157287</v>
      </c>
    </row>
    <row r="28" customFormat="false" ht="15" hidden="false" customHeight="false" outlineLevel="0" collapsed="false">
      <c r="C28" s="0" t="str">
        <f aca="false">Funding!C40</f>
        <v>Financing Charges</v>
      </c>
      <c r="E28" s="104" t="s">
        <v>72</v>
      </c>
      <c r="G28" s="133" t="n">
        <f aca="false">Funding!G40</f>
        <v>917689.43187538</v>
      </c>
    </row>
    <row r="29" customFormat="false" ht="15" hidden="false" customHeight="false" outlineLevel="0" collapsed="false">
      <c r="C29" s="0" t="str">
        <f aca="false">Funding!C42</f>
        <v>Interest During Construction (IDC)</v>
      </c>
      <c r="E29" s="104" t="s">
        <v>72</v>
      </c>
      <c r="G29" s="133" t="n">
        <f aca="false">Funding!G42</f>
        <v>709350.521718102</v>
      </c>
    </row>
    <row r="30" customFormat="false" ht="15" hidden="false" customHeight="false" outlineLevel="0" collapsed="false">
      <c r="C30" s="0" t="str">
        <f aca="false">Funding!C43</f>
        <v>WHT on IDC</v>
      </c>
      <c r="E30" s="104" t="s">
        <v>72</v>
      </c>
      <c r="G30" s="133" t="n">
        <f aca="false">Funding!G43</f>
        <v>0</v>
      </c>
    </row>
    <row r="31" customFormat="false" ht="15" hidden="false" customHeight="false" outlineLevel="0" collapsed="false">
      <c r="C31" s="0" t="str">
        <f aca="false">Funding!C44</f>
        <v>Other Devt Costs</v>
      </c>
      <c r="E31" s="104" t="s">
        <v>72</v>
      </c>
      <c r="G31" s="133" t="n">
        <f aca="false">Funding!G44</f>
        <v>0</v>
      </c>
    </row>
    <row r="32" customFormat="false" ht="15" hidden="false" customHeight="false" outlineLevel="0" collapsed="false">
      <c r="C32" s="132" t="str">
        <f aca="false">Funding!C45</f>
        <v>Total Capital Required, excl. Land</v>
      </c>
      <c r="D32" s="132"/>
      <c r="E32" s="182" t="s">
        <v>72</v>
      </c>
      <c r="F32" s="132"/>
      <c r="G32" s="224" t="n">
        <f aca="false">Funding!G45</f>
        <v>28005185.8932661</v>
      </c>
    </row>
    <row r="33" customFormat="false" ht="15" hidden="false" customHeight="false" outlineLevel="0" collapsed="false">
      <c r="C33" s="0" t="s">
        <v>485</v>
      </c>
      <c r="E33" s="104" t="s">
        <v>72</v>
      </c>
      <c r="G33" s="133" t="e">
        <f aca="false">Land_value</f>
        <v>#NAME?</v>
      </c>
    </row>
    <row r="34" customFormat="false" ht="15" hidden="false" customHeight="false" outlineLevel="0" collapsed="false">
      <c r="C34" s="2" t="s">
        <v>486</v>
      </c>
      <c r="E34" s="104" t="s">
        <v>72</v>
      </c>
      <c r="G34" s="225" t="e">
        <f aca="false">SUM(G32:G33)</f>
        <v>#NAME?</v>
      </c>
    </row>
    <row r="36" customFormat="false" ht="15" hidden="false" customHeight="false" outlineLevel="0" collapsed="false">
      <c r="C36" s="2" t="s">
        <v>487</v>
      </c>
    </row>
    <row r="37" customFormat="false" ht="15" hidden="false" customHeight="false" outlineLevel="0" collapsed="false">
      <c r="C37" s="0" t="str">
        <f aca="false">Parameters!D40</f>
        <v>Construction / EPC Cost</v>
      </c>
      <c r="E37" s="104" t="s">
        <v>72</v>
      </c>
      <c r="G37" s="133" t="n">
        <f aca="false">Parameters!T40</f>
        <v>21000000</v>
      </c>
    </row>
    <row r="38" customFormat="false" ht="15" hidden="false" customHeight="false" outlineLevel="0" collapsed="false">
      <c r="C38" s="0" t="str">
        <f aca="false">Parameters!D41</f>
        <v>Transmission Line + grid connection</v>
      </c>
      <c r="E38" s="104" t="s">
        <v>72</v>
      </c>
      <c r="G38" s="133" t="n">
        <f aca="false">Parameters!T41</f>
        <v>1560000</v>
      </c>
    </row>
    <row r="39" customFormat="false" ht="15" hidden="false" customHeight="false" outlineLevel="0" collapsed="false">
      <c r="C39" s="0" t="str">
        <f aca="false">Parameters!D42</f>
        <v>Insurance</v>
      </c>
      <c r="E39" s="104" t="s">
        <v>72</v>
      </c>
      <c r="G39" s="133" t="n">
        <f aca="false">Parameters!T42</f>
        <v>0</v>
      </c>
    </row>
    <row r="40" customFormat="false" ht="15" hidden="false" customHeight="false" outlineLevel="0" collapsed="false">
      <c r="C40" s="0" t="str">
        <f aca="false">Parameters!D43</f>
        <v>Development Studies / Construction Supervision</v>
      </c>
      <c r="E40" s="104" t="s">
        <v>72</v>
      </c>
      <c r="G40" s="133" t="n">
        <f aca="false">Parameters!T43</f>
        <v>600000</v>
      </c>
    </row>
    <row r="41" customFormat="false" ht="15" hidden="false" customHeight="false" outlineLevel="0" collapsed="false">
      <c r="C41" s="0" t="str">
        <f aca="false">Parameters!D44</f>
        <v>Contingencies</v>
      </c>
      <c r="E41" s="104" t="s">
        <v>72</v>
      </c>
      <c r="G41" s="133" t="n">
        <f aca="false">Parameters!T44</f>
        <v>1050000</v>
      </c>
    </row>
    <row r="42" customFormat="false" ht="15" hidden="false" customHeight="false" outlineLevel="0" collapsed="false">
      <c r="C42" s="117" t="str">
        <f aca="false">Parameters!D45</f>
        <v>Total Hard Costs</v>
      </c>
      <c r="D42" s="117"/>
      <c r="E42" s="182" t="s">
        <v>72</v>
      </c>
      <c r="F42" s="117"/>
      <c r="G42" s="123" t="n">
        <f aca="false">Parameters!T45</f>
        <v>24210000</v>
      </c>
    </row>
    <row r="44" customFormat="false" ht="15" hidden="true" customHeight="false" outlineLevel="1" collapsed="false">
      <c r="I44" s="2" t="n">
        <v>1</v>
      </c>
      <c r="J44" s="2" t="n">
        <v>2</v>
      </c>
      <c r="K44" s="2" t="n">
        <v>3</v>
      </c>
      <c r="L44" s="2" t="n">
        <v>4</v>
      </c>
      <c r="M44" s="2" t="n">
        <v>5</v>
      </c>
      <c r="N44" s="2" t="n">
        <v>6</v>
      </c>
      <c r="O44" s="2" t="n">
        <v>7</v>
      </c>
      <c r="P44" s="2" t="n">
        <v>8</v>
      </c>
      <c r="Q44" s="2" t="n">
        <v>9</v>
      </c>
      <c r="R44" s="2" t="n">
        <v>10</v>
      </c>
      <c r="S44" s="2" t="n">
        <v>11</v>
      </c>
      <c r="T44" s="2" t="n">
        <v>12</v>
      </c>
      <c r="U44" s="2" t="n">
        <v>13</v>
      </c>
      <c r="V44" s="2" t="n">
        <v>14</v>
      </c>
      <c r="W44" s="2" t="n">
        <v>15</v>
      </c>
      <c r="X44" s="2" t="n">
        <v>16</v>
      </c>
      <c r="Y44" s="2" t="n">
        <v>17</v>
      </c>
      <c r="Z44" s="2" t="n">
        <v>18</v>
      </c>
      <c r="AA44" s="2" t="n">
        <v>19</v>
      </c>
      <c r="AB44" s="2" t="n">
        <v>20</v>
      </c>
      <c r="AC44" s="2" t="n">
        <v>21</v>
      </c>
      <c r="AD44" s="2" t="n">
        <v>22</v>
      </c>
      <c r="AE44" s="2" t="n">
        <v>23</v>
      </c>
      <c r="AF44" s="2" t="n">
        <v>24</v>
      </c>
      <c r="AG44" s="2" t="n">
        <v>25</v>
      </c>
      <c r="AH44" s="2" t="n">
        <v>26</v>
      </c>
      <c r="AI44" s="2" t="n">
        <v>27</v>
      </c>
      <c r="AJ44" s="2" t="n">
        <v>28</v>
      </c>
      <c r="AK44" s="2" t="n">
        <v>29</v>
      </c>
      <c r="AL44" s="2" t="n">
        <v>30</v>
      </c>
    </row>
    <row r="45" customFormat="false" ht="15" hidden="true" customHeight="false" outlineLevel="1" collapsed="false">
      <c r="B45" s="0" t="s">
        <v>488</v>
      </c>
      <c r="C45" s="0" t="s">
        <v>489</v>
      </c>
      <c r="E45" s="104" t="s">
        <v>72</v>
      </c>
      <c r="I45" s="122" t="e">
        <f aca="false">'Cash Flow'!I127</f>
        <v>#VALUE!</v>
      </c>
      <c r="J45" s="122" t="e">
        <f aca="false">'Cash Flow'!J127</f>
        <v>#VALUE!</v>
      </c>
      <c r="K45" s="122" t="e">
        <f aca="false">'Cash Flow'!K127</f>
        <v>#VALUE!</v>
      </c>
      <c r="L45" s="122" t="e">
        <f aca="false">'Cash Flow'!L127</f>
        <v>#VALUE!</v>
      </c>
      <c r="M45" s="122" t="e">
        <f aca="false">'Cash Flow'!M127</f>
        <v>#VALUE!</v>
      </c>
      <c r="N45" s="122" t="e">
        <f aca="false">'Cash Flow'!N127</f>
        <v>#VALUE!</v>
      </c>
      <c r="O45" s="122" t="e">
        <f aca="false">'Cash Flow'!O127</f>
        <v>#VALUE!</v>
      </c>
      <c r="P45" s="122" t="e">
        <f aca="false">'Cash Flow'!P127</f>
        <v>#VALUE!</v>
      </c>
      <c r="Q45" s="122" t="e">
        <f aca="false">'Cash Flow'!Q127</f>
        <v>#VALUE!</v>
      </c>
      <c r="R45" s="122" t="e">
        <f aca="false">'Cash Flow'!R127</f>
        <v>#VALUE!</v>
      </c>
      <c r="S45" s="122" t="e">
        <f aca="false">'Cash Flow'!S127</f>
        <v>#VALUE!</v>
      </c>
      <c r="T45" s="122" t="e">
        <f aca="false">'Cash Flow'!T127</f>
        <v>#VALUE!</v>
      </c>
      <c r="U45" s="122" t="e">
        <f aca="false">'Cash Flow'!U127</f>
        <v>#VALUE!</v>
      </c>
      <c r="V45" s="122" t="e">
        <f aca="false">'Cash Flow'!V127</f>
        <v>#VALUE!</v>
      </c>
      <c r="W45" s="122" t="e">
        <f aca="false">'Cash Flow'!W127</f>
        <v>#VALUE!</v>
      </c>
      <c r="X45" s="122" t="e">
        <f aca="false">'Cash Flow'!X127</f>
        <v>#VALUE!</v>
      </c>
      <c r="Y45" s="122" t="e">
        <f aca="false">'Cash Flow'!Y127</f>
        <v>#VALUE!</v>
      </c>
      <c r="Z45" s="122" t="e">
        <f aca="false">'Cash Flow'!Z127</f>
        <v>#VALUE!</v>
      </c>
      <c r="AA45" s="122" t="e">
        <f aca="false">'Cash Flow'!AA127</f>
        <v>#VALUE!</v>
      </c>
      <c r="AB45" s="122" t="e">
        <f aca="false">'Cash Flow'!AB127</f>
        <v>#VALUE!</v>
      </c>
      <c r="AC45" s="122" t="e">
        <f aca="false">'Cash Flow'!AC127</f>
        <v>#VALUE!</v>
      </c>
      <c r="AD45" s="122" t="e">
        <f aca="false">'Cash Flow'!AD127</f>
        <v>#VALUE!</v>
      </c>
      <c r="AE45" s="122" t="e">
        <f aca="false">'Cash Flow'!AE127</f>
        <v>#VALUE!</v>
      </c>
      <c r="AF45" s="122" t="e">
        <f aca="false">'Cash Flow'!AF127</f>
        <v>#VALUE!</v>
      </c>
      <c r="AG45" s="122" t="e">
        <f aca="false">'Cash Flow'!AG127</f>
        <v>#VALUE!</v>
      </c>
      <c r="AH45" s="122" t="e">
        <f aca="false">'Cash Flow'!AH127</f>
        <v>#VALUE!</v>
      </c>
      <c r="AI45" s="122" t="e">
        <f aca="false">'Cash Flow'!AI127</f>
        <v>#VALUE!</v>
      </c>
      <c r="AJ45" s="122" t="e">
        <f aca="false">'Cash Flow'!AJ127</f>
        <v>#VALUE!</v>
      </c>
      <c r="AK45" s="122" t="e">
        <f aca="false">'Cash Flow'!AK127</f>
        <v>#VALUE!</v>
      </c>
      <c r="AL45" s="122" t="e">
        <f aca="false">'Cash Flow'!AL127</f>
        <v>#VALUE!</v>
      </c>
    </row>
    <row r="46" customFormat="false" ht="15" hidden="true" customHeight="false" outlineLevel="1" collapsed="false">
      <c r="B46" s="0" t="s">
        <v>490</v>
      </c>
      <c r="C46" s="0" t="s">
        <v>491</v>
      </c>
      <c r="E46" s="104" t="s">
        <v>72</v>
      </c>
      <c r="I46" s="122" t="e">
        <f aca="false">'Cash Flow'!I138</f>
        <v>#NAME?</v>
      </c>
      <c r="J46" s="122" t="e">
        <f aca="false">'Cash Flow'!J138</f>
        <v>#NAME?</v>
      </c>
      <c r="K46" s="122" t="e">
        <f aca="false">'Cash Flow'!K138</f>
        <v>#NAME?</v>
      </c>
      <c r="L46" s="122" t="e">
        <f aca="false">'Cash Flow'!L138</f>
        <v>#NAME?</v>
      </c>
      <c r="M46" s="122" t="e">
        <f aca="false">'Cash Flow'!M138</f>
        <v>#NAME?</v>
      </c>
      <c r="N46" s="122" t="e">
        <f aca="false">'Cash Flow'!N138</f>
        <v>#NAME?</v>
      </c>
      <c r="O46" s="122" t="e">
        <f aca="false">'Cash Flow'!O138</f>
        <v>#NAME?</v>
      </c>
      <c r="P46" s="122" t="e">
        <f aca="false">'Cash Flow'!P138</f>
        <v>#NAME?</v>
      </c>
      <c r="Q46" s="122" t="e">
        <f aca="false">'Cash Flow'!Q138</f>
        <v>#NAME?</v>
      </c>
      <c r="R46" s="122" t="e">
        <f aca="false">'Cash Flow'!R138</f>
        <v>#NAME?</v>
      </c>
      <c r="S46" s="122" t="e">
        <f aca="false">'Cash Flow'!S138</f>
        <v>#NAME?</v>
      </c>
      <c r="T46" s="122" t="e">
        <f aca="false">'Cash Flow'!T138</f>
        <v>#NAME?</v>
      </c>
      <c r="U46" s="122" t="e">
        <f aca="false">'Cash Flow'!U138</f>
        <v>#NAME?</v>
      </c>
      <c r="V46" s="122" t="e">
        <f aca="false">'Cash Flow'!V138</f>
        <v>#NAME?</v>
      </c>
      <c r="W46" s="122" t="e">
        <f aca="false">'Cash Flow'!W138</f>
        <v>#NAME?</v>
      </c>
      <c r="X46" s="122" t="e">
        <f aca="false">'Cash Flow'!X138</f>
        <v>#NAME?</v>
      </c>
      <c r="Y46" s="122" t="e">
        <f aca="false">'Cash Flow'!Y138</f>
        <v>#NAME?</v>
      </c>
      <c r="Z46" s="122" t="e">
        <f aca="false">'Cash Flow'!Z138</f>
        <v>#NAME?</v>
      </c>
      <c r="AA46" s="122" t="e">
        <f aca="false">'Cash Flow'!AA138</f>
        <v>#NAME?</v>
      </c>
      <c r="AB46" s="122" t="e">
        <f aca="false">'Cash Flow'!AB138</f>
        <v>#NAME?</v>
      </c>
      <c r="AC46" s="122" t="e">
        <f aca="false">'Cash Flow'!AC138</f>
        <v>#NAME?</v>
      </c>
      <c r="AD46" s="122" t="e">
        <f aca="false">'Cash Flow'!AD138</f>
        <v>#NAME?</v>
      </c>
      <c r="AE46" s="122" t="e">
        <f aca="false">'Cash Flow'!AE138</f>
        <v>#NAME?</v>
      </c>
      <c r="AF46" s="122" t="e">
        <f aca="false">'Cash Flow'!AF138</f>
        <v>#NAME?</v>
      </c>
      <c r="AG46" s="122" t="e">
        <f aca="false">'Cash Flow'!AG138</f>
        <v>#NAME?</v>
      </c>
      <c r="AH46" s="122" t="e">
        <f aca="false">'Cash Flow'!AH138</f>
        <v>#NAME?</v>
      </c>
      <c r="AI46" s="122" t="e">
        <f aca="false">'Cash Flow'!AI138</f>
        <v>#NAME?</v>
      </c>
      <c r="AJ46" s="122" t="e">
        <f aca="false">'Cash Flow'!AJ138</f>
        <v>#NAME?</v>
      </c>
      <c r="AK46" s="122" t="e">
        <f aca="false">'Cash Flow'!AK138</f>
        <v>#NAME?</v>
      </c>
      <c r="AL46" s="122" t="e">
        <f aca="false">'Cash Flow'!AL138</f>
        <v>#NAME?</v>
      </c>
    </row>
    <row r="47" customFormat="false" ht="15" hidden="true" customHeight="false" outlineLevel="1" collapsed="false">
      <c r="C47" s="0" t="s">
        <v>165</v>
      </c>
      <c r="E47" s="104" t="s">
        <v>198</v>
      </c>
      <c r="J47" s="189" t="n">
        <v>100</v>
      </c>
      <c r="K47" s="189" t="n">
        <f aca="false">IFERROR(K45/$J45*$J47,0)</f>
        <v>0</v>
      </c>
      <c r="L47" s="189" t="n">
        <f aca="false">IFERROR(L45/$J$45*$J$47,0)</f>
        <v>0</v>
      </c>
      <c r="M47" s="189" t="n">
        <f aca="false">IFERROR(M45/$J$45*$J$47,0)</f>
        <v>0</v>
      </c>
      <c r="N47" s="189" t="n">
        <f aca="false">IFERROR(N45/$J$45*$J$47,0)</f>
        <v>0</v>
      </c>
      <c r="O47" s="189" t="n">
        <f aca="false">IFERROR(O45/$J$45*$J$47,0)</f>
        <v>0</v>
      </c>
      <c r="P47" s="189" t="n">
        <f aca="false">IFERROR(P45/$J$45*$J$47,0)</f>
        <v>0</v>
      </c>
      <c r="Q47" s="189" t="n">
        <f aca="false">IFERROR(Q45/$J$45*$J$47,0)</f>
        <v>0</v>
      </c>
      <c r="R47" s="189" t="n">
        <f aca="false">IFERROR(R45/$J$45*$J$47,0)</f>
        <v>0</v>
      </c>
      <c r="S47" s="189" t="n">
        <f aca="false">IFERROR(S45/$J$45*$J$47,0)</f>
        <v>0</v>
      </c>
      <c r="T47" s="189" t="n">
        <f aca="false">IFERROR(T45/$J$45*$J$47,0)</f>
        <v>0</v>
      </c>
      <c r="U47" s="189" t="n">
        <f aca="false">IFERROR(U45/$J$45*$J$47,0)</f>
        <v>0</v>
      </c>
      <c r="V47" s="189" t="n">
        <f aca="false">IFERROR(V45/$J$45*$J$47,0)</f>
        <v>0</v>
      </c>
      <c r="W47" s="189" t="n">
        <f aca="false">IFERROR(W45/$J$45*$J$47,0)</f>
        <v>0</v>
      </c>
      <c r="X47" s="189" t="n">
        <f aca="false">IFERROR(X45/$J$45*$J$47,0)</f>
        <v>0</v>
      </c>
      <c r="Y47" s="189" t="n">
        <f aca="false">IFERROR(Y45/$J$45*$J$47,0)</f>
        <v>0</v>
      </c>
      <c r="Z47" s="189" t="n">
        <f aca="false">IFERROR(Z45/$J$45*$J$47,0)</f>
        <v>0</v>
      </c>
      <c r="AA47" s="189" t="n">
        <f aca="false">IFERROR(AA45/$J$45*$J$47,0)</f>
        <v>0</v>
      </c>
      <c r="AB47" s="189" t="n">
        <f aca="false">IFERROR(AB45/$J$45*$J$47,0)</f>
        <v>0</v>
      </c>
      <c r="AC47" s="189" t="n">
        <f aca="false">IFERROR(AC45/$J$45*$J$47,0)</f>
        <v>0</v>
      </c>
      <c r="AD47" s="189" t="n">
        <f aca="false">IFERROR(AD45/$J$45*$J$47,0)</f>
        <v>0</v>
      </c>
      <c r="AE47" s="189" t="n">
        <f aca="false">IFERROR(AE45/$J$45*$J$47,0)</f>
        <v>0</v>
      </c>
      <c r="AF47" s="189" t="n">
        <f aca="false">IFERROR(AF45/$J$45*$J$47,0)</f>
        <v>0</v>
      </c>
      <c r="AG47" s="189" t="n">
        <f aca="false">IFERROR(AG45/$J$45*$J$47,0)</f>
        <v>0</v>
      </c>
      <c r="AH47" s="189" t="n">
        <f aca="false">IFERROR(AH45/$J$45*$J$47,0)</f>
        <v>0</v>
      </c>
      <c r="AI47" s="189" t="n">
        <f aca="false">IFERROR(AI45/$J$45*$J$47,0)</f>
        <v>0</v>
      </c>
      <c r="AJ47" s="189" t="n">
        <f aca="false">IFERROR(AJ45/$J$45*$J$47,0)</f>
        <v>0</v>
      </c>
      <c r="AK47" s="189" t="n">
        <f aca="false">IFERROR(AK45/$J$45*$J$47,0)</f>
        <v>0</v>
      </c>
      <c r="AL47" s="189" t="n">
        <f aca="false">IFERROR(AL45/$J$45*$J$47,0)</f>
        <v>0</v>
      </c>
    </row>
    <row r="48" customFormat="false" ht="15" hidden="true" customHeight="false" outlineLevel="1" collapsed="false">
      <c r="C48" s="0" t="s">
        <v>492</v>
      </c>
      <c r="E48" s="104" t="s">
        <v>198</v>
      </c>
      <c r="J48" s="189" t="n">
        <v>100</v>
      </c>
      <c r="K48" s="189" t="n">
        <f aca="false">IFERROR(K46/$J46*$J48,0)</f>
        <v>0</v>
      </c>
      <c r="L48" s="189" t="n">
        <f aca="false">IFERROR(L46/$J46*$J48,0)</f>
        <v>0</v>
      </c>
      <c r="M48" s="189" t="n">
        <f aca="false">IFERROR(M46/$J46*$J48,0)</f>
        <v>0</v>
      </c>
      <c r="N48" s="189" t="n">
        <f aca="false">IFERROR(N46/$J46*$J48,0)</f>
        <v>0</v>
      </c>
      <c r="O48" s="189" t="n">
        <f aca="false">IFERROR(O46/$J46*$J48,0)</f>
        <v>0</v>
      </c>
      <c r="P48" s="189" t="n">
        <f aca="false">IFERROR(P46/$J46*$J48,0)</f>
        <v>0</v>
      </c>
      <c r="Q48" s="189" t="n">
        <f aca="false">IFERROR(Q46/$J46*$J48,0)</f>
        <v>0</v>
      </c>
      <c r="R48" s="189" t="n">
        <f aca="false">IFERROR(R46/$J46*$J48,0)</f>
        <v>0</v>
      </c>
      <c r="S48" s="189" t="n">
        <f aca="false">IFERROR(S46/$J46*$J48,0)</f>
        <v>0</v>
      </c>
      <c r="T48" s="189" t="n">
        <f aca="false">IFERROR(T46/$J46*$J48,0)</f>
        <v>0</v>
      </c>
      <c r="U48" s="189" t="n">
        <f aca="false">IFERROR(U46/$J46*$J48,0)</f>
        <v>0</v>
      </c>
      <c r="V48" s="189" t="n">
        <f aca="false">IFERROR(V46/$J46*$J48,0)</f>
        <v>0</v>
      </c>
      <c r="W48" s="189" t="n">
        <f aca="false">IFERROR(W46/$J46*$J48,0)</f>
        <v>0</v>
      </c>
      <c r="X48" s="189" t="n">
        <f aca="false">IFERROR(X46/$J46*$J48,0)</f>
        <v>0</v>
      </c>
      <c r="Y48" s="189" t="n">
        <f aca="false">IFERROR(Y46/$J46*$J48,0)</f>
        <v>0</v>
      </c>
      <c r="Z48" s="189" t="n">
        <f aca="false">IFERROR(Z46/$J46*$J48,0)</f>
        <v>0</v>
      </c>
      <c r="AA48" s="189" t="n">
        <f aca="false">IFERROR(AA46/$J46*$J48,0)</f>
        <v>0</v>
      </c>
      <c r="AB48" s="189" t="n">
        <f aca="false">IFERROR(AB46/$J46*$J48,0)</f>
        <v>0</v>
      </c>
      <c r="AC48" s="189" t="n">
        <f aca="false">IFERROR(AC46/$J46*$J48,0)</f>
        <v>0</v>
      </c>
      <c r="AD48" s="189" t="n">
        <f aca="false">IFERROR(AD46/$J46*$J48,0)</f>
        <v>0</v>
      </c>
      <c r="AE48" s="189" t="n">
        <f aca="false">IFERROR(AE46/$J46*$J48,0)</f>
        <v>0</v>
      </c>
      <c r="AF48" s="189" t="n">
        <f aca="false">IFERROR(AF46/$J46*$J48,0)</f>
        <v>0</v>
      </c>
      <c r="AG48" s="189" t="n">
        <f aca="false">IFERROR(AG46/$J46*$J48,0)</f>
        <v>0</v>
      </c>
      <c r="AH48" s="189" t="n">
        <f aca="false">IFERROR(AH46/$J46*$J48,0)</f>
        <v>0</v>
      </c>
      <c r="AI48" s="189" t="n">
        <f aca="false">IFERROR(AI46/$J46*$J48,0)</f>
        <v>0</v>
      </c>
      <c r="AJ48" s="189" t="n">
        <f aca="false">IFERROR(AJ46/$J46*$J48,0)</f>
        <v>0</v>
      </c>
      <c r="AK48" s="189" t="n">
        <f aca="false">IFERROR(AK46/$J46*$J48,0)</f>
        <v>0</v>
      </c>
      <c r="AL48" s="189" t="n">
        <f aca="false">IFERROR(AL46/$J46*$J48,0)</f>
        <v>0</v>
      </c>
    </row>
  </sheetData>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2:Q42"/>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G4" activeCellId="0" sqref="G4"/>
    </sheetView>
  </sheetViews>
  <sheetFormatPr defaultRowHeight="15"/>
  <cols>
    <col collapsed="false" hidden="false" max="1" min="1" style="0" width="9.10526315789474"/>
    <col collapsed="false" hidden="false" max="2" min="2" style="0" width="10.7125506072875"/>
    <col collapsed="false" hidden="false" max="3" min="3" style="0" width="14.0323886639676"/>
    <col collapsed="false" hidden="false" max="6" min="4" style="0" width="10.1781376518219"/>
    <col collapsed="false" hidden="false" max="7" min="7" style="0" width="12.8542510121458"/>
    <col collapsed="false" hidden="false" max="11" min="8" style="0" width="10.1781376518219"/>
    <col collapsed="false" hidden="false" max="12" min="12" style="0" width="12.5344129554656"/>
    <col collapsed="false" hidden="false" max="13" min="13" style="0" width="13.0688259109312"/>
    <col collapsed="false" hidden="false" max="14" min="14" style="0" width="12.2105263157895"/>
    <col collapsed="false" hidden="false" max="15" min="15" style="0" width="12.5344129554656"/>
    <col collapsed="false" hidden="false" max="18" min="16" style="0" width="10.1781376518219"/>
    <col collapsed="false" hidden="false" max="19" min="19" style="0" width="13.0688259109312"/>
    <col collapsed="false" hidden="false" max="20" min="20" style="0" width="10.1781376518219"/>
    <col collapsed="false" hidden="false" max="21" min="21" style="0" width="13.6032388663968"/>
    <col collapsed="false" hidden="false" max="25" min="22" style="0" width="7.2834008097166"/>
    <col collapsed="false" hidden="false" max="1025" min="26" style="0" width="9.10526315789474"/>
  </cols>
  <sheetData>
    <row r="2" customFormat="false" ht="15" hidden="false" customHeight="false" outlineLevel="0" collapsed="false">
      <c r="A2" s="226"/>
      <c r="B2" s="179"/>
      <c r="C2" s="227"/>
      <c r="D2" s="227"/>
      <c r="E2" s="227"/>
      <c r="F2" s="179"/>
      <c r="G2" s="179"/>
      <c r="H2" s="179"/>
      <c r="I2" s="179"/>
      <c r="J2" s="179"/>
      <c r="K2" s="179"/>
    </row>
    <row r="3" customFormat="false" ht="11.65" hidden="false" customHeight="true" outlineLevel="0" collapsed="false">
      <c r="A3" s="226"/>
      <c r="B3" s="179" t="s">
        <v>57</v>
      </c>
      <c r="C3" s="180" t="s">
        <v>34</v>
      </c>
      <c r="D3" s="228" t="n">
        <f aca="false">Tariff_Discount</f>
        <v>0.12</v>
      </c>
      <c r="E3" s="180"/>
      <c r="F3" s="180"/>
      <c r="G3" s="180"/>
      <c r="H3" s="180"/>
      <c r="I3" s="180"/>
      <c r="J3" s="180"/>
      <c r="K3" s="180"/>
    </row>
    <row r="4" customFormat="false" ht="15.75" hidden="false" customHeight="true" outlineLevel="0" collapsed="false">
      <c r="A4" s="226"/>
      <c r="B4" s="229" t="s">
        <v>493</v>
      </c>
      <c r="C4" s="230" t="s">
        <v>205</v>
      </c>
      <c r="D4" s="230" t="s">
        <v>494</v>
      </c>
      <c r="E4" s="230" t="s">
        <v>495</v>
      </c>
      <c r="F4" s="230" t="s">
        <v>495</v>
      </c>
      <c r="G4" s="231" t="s">
        <v>496</v>
      </c>
      <c r="H4" s="231"/>
      <c r="I4" s="231"/>
      <c r="J4" s="231"/>
      <c r="K4" s="231"/>
      <c r="L4" s="231"/>
      <c r="M4" s="229" t="s">
        <v>497</v>
      </c>
      <c r="N4" s="232"/>
    </row>
    <row r="5" customFormat="false" ht="15.75" hidden="false" customHeight="false" outlineLevel="0" collapsed="false">
      <c r="A5" s="226"/>
      <c r="B5" s="229"/>
      <c r="C5" s="230"/>
      <c r="D5" s="230"/>
      <c r="E5" s="230"/>
      <c r="F5" s="230"/>
      <c r="G5" s="233" t="s">
        <v>498</v>
      </c>
      <c r="H5" s="234" t="s">
        <v>499</v>
      </c>
      <c r="I5" s="234" t="s">
        <v>500</v>
      </c>
      <c r="J5" s="234" t="s">
        <v>501</v>
      </c>
      <c r="K5" s="235" t="s">
        <v>502</v>
      </c>
      <c r="L5" s="234" t="s">
        <v>107</v>
      </c>
      <c r="M5" s="229"/>
      <c r="N5" s="232"/>
    </row>
    <row r="6" customFormat="false" ht="30.75" hidden="false" customHeight="false" outlineLevel="0" collapsed="false">
      <c r="A6" s="226"/>
      <c r="B6" s="234" t="s">
        <v>503</v>
      </c>
      <c r="C6" s="233" t="s">
        <v>46</v>
      </c>
      <c r="D6" s="233"/>
      <c r="E6" s="233" t="s">
        <v>504</v>
      </c>
      <c r="F6" s="233"/>
      <c r="G6" s="233" t="s">
        <v>460</v>
      </c>
      <c r="H6" s="233" t="s">
        <v>460</v>
      </c>
      <c r="I6" s="233" t="s">
        <v>460</v>
      </c>
      <c r="J6" s="233" t="s">
        <v>460</v>
      </c>
      <c r="K6" s="233" t="s">
        <v>460</v>
      </c>
      <c r="L6" s="233" t="s">
        <v>460</v>
      </c>
      <c r="M6" s="234" t="s">
        <v>504</v>
      </c>
      <c r="N6" s="232"/>
    </row>
    <row r="7" customFormat="false" ht="15" hidden="false" customHeight="false" outlineLevel="0" collapsed="false">
      <c r="A7" s="226"/>
      <c r="B7" s="236" t="n">
        <v>1</v>
      </c>
      <c r="C7" s="237" t="n">
        <f aca="false">1*(B7&lt;=PPA_duration)</f>
        <v>1</v>
      </c>
      <c r="D7" s="238" t="n">
        <f aca="false">1/(1+$D$3)^(B7)*(B7&lt;=PPA_duration)</f>
        <v>0.892857142857143</v>
      </c>
      <c r="E7" s="239" t="n">
        <v>1</v>
      </c>
      <c r="F7" s="239"/>
      <c r="G7" s="240"/>
      <c r="H7" s="241"/>
      <c r="I7" s="241"/>
      <c r="J7" s="241"/>
      <c r="K7" s="241"/>
      <c r="L7" s="115" t="n">
        <f aca="false">'Cash Flow'!J20</f>
        <v>0.14</v>
      </c>
      <c r="M7" s="242" t="n">
        <f aca="false">IF(L7="",0,L7*C7)</f>
        <v>0.14</v>
      </c>
      <c r="N7" s="232"/>
      <c r="Q7" s="243"/>
    </row>
    <row r="8" customFormat="false" ht="15" hidden="false" customHeight="false" outlineLevel="0" collapsed="false">
      <c r="A8" s="244"/>
      <c r="B8" s="236" t="n">
        <v>2</v>
      </c>
      <c r="C8" s="237" t="n">
        <f aca="false">1*(B8&lt;=PPA_duration)</f>
        <v>1</v>
      </c>
      <c r="D8" s="238" t="n">
        <f aca="false">1/(1+$D$3)^(B8)*(B8&lt;=PPA_duration)</f>
        <v>0.79719387755102</v>
      </c>
      <c r="E8" s="239" t="n">
        <v>1</v>
      </c>
      <c r="F8" s="239"/>
      <c r="G8" s="240"/>
      <c r="H8" s="241"/>
      <c r="I8" s="241"/>
      <c r="J8" s="241"/>
      <c r="K8" s="241"/>
      <c r="L8" s="115" t="n">
        <f aca="false">'Cash Flow'!K20</f>
        <v>0.14</v>
      </c>
      <c r="M8" s="242" t="n">
        <f aca="false">IF(L8="",0,L8*C8)</f>
        <v>0.14</v>
      </c>
      <c r="N8" s="232"/>
      <c r="Q8" s="243"/>
    </row>
    <row r="9" customFormat="false" ht="15" hidden="false" customHeight="false" outlineLevel="0" collapsed="false">
      <c r="A9" s="226"/>
      <c r="B9" s="236" t="n">
        <v>3</v>
      </c>
      <c r="C9" s="237" t="n">
        <f aca="false">1*(B9&lt;=PPA_duration)</f>
        <v>1</v>
      </c>
      <c r="D9" s="238" t="n">
        <f aca="false">1/(1+$D$3)^(B9)*(B9&lt;=PPA_duration)</f>
        <v>0.711780247813411</v>
      </c>
      <c r="E9" s="239" t="n">
        <v>1</v>
      </c>
      <c r="F9" s="239"/>
      <c r="G9" s="240"/>
      <c r="H9" s="241"/>
      <c r="I9" s="241"/>
      <c r="J9" s="241"/>
      <c r="K9" s="241"/>
      <c r="L9" s="115" t="n">
        <f aca="false">'Cash Flow'!L20</f>
        <v>0.14</v>
      </c>
      <c r="M9" s="242" t="n">
        <f aca="false">IF(L9="",0,L9*C9)</f>
        <v>0.14</v>
      </c>
      <c r="N9" s="232"/>
      <c r="Q9" s="243"/>
    </row>
    <row r="10" customFormat="false" ht="15" hidden="false" customHeight="false" outlineLevel="0" collapsed="false">
      <c r="A10" s="226"/>
      <c r="B10" s="236" t="n">
        <v>4</v>
      </c>
      <c r="C10" s="237" t="n">
        <f aca="false">1*(B10&lt;=PPA_duration)</f>
        <v>1</v>
      </c>
      <c r="D10" s="238" t="n">
        <f aca="false">1/(1+$D$3)^(B10)*(B10&lt;=PPA_duration)</f>
        <v>0.635518078404831</v>
      </c>
      <c r="E10" s="239" t="n">
        <v>1</v>
      </c>
      <c r="F10" s="239"/>
      <c r="G10" s="240"/>
      <c r="H10" s="241"/>
      <c r="I10" s="241"/>
      <c r="J10" s="241"/>
      <c r="K10" s="241"/>
      <c r="L10" s="115" t="n">
        <f aca="false">'Cash Flow'!M20</f>
        <v>0.14</v>
      </c>
      <c r="M10" s="242" t="n">
        <f aca="false">IF(L10="",0,L10*C10)</f>
        <v>0.14</v>
      </c>
      <c r="N10" s="232"/>
      <c r="Q10" s="243"/>
    </row>
    <row r="11" customFormat="false" ht="15" hidden="false" customHeight="false" outlineLevel="0" collapsed="false">
      <c r="A11" s="226"/>
      <c r="B11" s="236" t="n">
        <v>5</v>
      </c>
      <c r="C11" s="237" t="n">
        <f aca="false">1*(B11&lt;=PPA_duration)</f>
        <v>1</v>
      </c>
      <c r="D11" s="238" t="n">
        <f aca="false">1/(1+$D$3)^(B11)*(B11&lt;=PPA_duration)</f>
        <v>0.567426855718599</v>
      </c>
      <c r="E11" s="239" t="n">
        <v>1</v>
      </c>
      <c r="F11" s="239"/>
      <c r="G11" s="240"/>
      <c r="H11" s="241"/>
      <c r="I11" s="241"/>
      <c r="J11" s="241"/>
      <c r="K11" s="241"/>
      <c r="L11" s="115" t="n">
        <f aca="false">'Cash Flow'!N20</f>
        <v>0.14</v>
      </c>
      <c r="M11" s="242" t="n">
        <f aca="false">IF(L11="",0,L11*C11)</f>
        <v>0.14</v>
      </c>
      <c r="N11" s="232"/>
      <c r="Q11" s="243"/>
    </row>
    <row r="12" customFormat="false" ht="15" hidden="false" customHeight="false" outlineLevel="0" collapsed="false">
      <c r="A12" s="226"/>
      <c r="B12" s="236" t="n">
        <v>6</v>
      </c>
      <c r="C12" s="237" t="n">
        <f aca="false">1*(B12&lt;=PPA_duration)</f>
        <v>1</v>
      </c>
      <c r="D12" s="238" t="n">
        <f aca="false">1/(1+$D$3)^(B12)*(B12&lt;=PPA_duration)</f>
        <v>0.506631121177321</v>
      </c>
      <c r="E12" s="239" t="n">
        <v>1</v>
      </c>
      <c r="F12" s="239"/>
      <c r="G12" s="240"/>
      <c r="H12" s="241"/>
      <c r="I12" s="241"/>
      <c r="J12" s="241"/>
      <c r="K12" s="241"/>
      <c r="L12" s="115" t="n">
        <f aca="false">'Cash Flow'!O20</f>
        <v>0.14</v>
      </c>
      <c r="M12" s="242" t="n">
        <f aca="false">IF(L12="",0,L12*C12)</f>
        <v>0.14</v>
      </c>
      <c r="N12" s="232"/>
      <c r="Q12" s="243"/>
    </row>
    <row r="13" customFormat="false" ht="15" hidden="false" customHeight="false" outlineLevel="0" collapsed="false">
      <c r="A13" s="226"/>
      <c r="B13" s="236" t="n">
        <v>7</v>
      </c>
      <c r="C13" s="237" t="n">
        <f aca="false">1*(B13&lt;=PPA_duration)</f>
        <v>1</v>
      </c>
      <c r="D13" s="238" t="n">
        <f aca="false">1/(1+$D$3)^(B13)*(B13&lt;=PPA_duration)</f>
        <v>0.452349215336893</v>
      </c>
      <c r="E13" s="239" t="n">
        <v>1</v>
      </c>
      <c r="F13" s="239"/>
      <c r="G13" s="240"/>
      <c r="H13" s="241"/>
      <c r="I13" s="241"/>
      <c r="J13" s="241"/>
      <c r="K13" s="241"/>
      <c r="L13" s="115" t="n">
        <f aca="false">'Cash Flow'!P20</f>
        <v>0.14</v>
      </c>
      <c r="M13" s="242" t="n">
        <f aca="false">IF(L13="",0,L13*C13)</f>
        <v>0.14</v>
      </c>
      <c r="N13" s="232"/>
      <c r="Q13" s="243"/>
    </row>
    <row r="14" customFormat="false" ht="15" hidden="false" customHeight="false" outlineLevel="0" collapsed="false">
      <c r="A14" s="226"/>
      <c r="B14" s="236" t="n">
        <v>8</v>
      </c>
      <c r="C14" s="237" t="n">
        <f aca="false">1*(B14&lt;=PPA_duration)</f>
        <v>1</v>
      </c>
      <c r="D14" s="238" t="n">
        <f aca="false">1/(1+$D$3)^(B14)*(B14&lt;=PPA_duration)</f>
        <v>0.403883227979369</v>
      </c>
      <c r="E14" s="239" t="n">
        <v>1</v>
      </c>
      <c r="F14" s="239"/>
      <c r="G14" s="240"/>
      <c r="H14" s="241"/>
      <c r="I14" s="241"/>
      <c r="J14" s="241"/>
      <c r="K14" s="241"/>
      <c r="L14" s="115" t="n">
        <f aca="false">'Cash Flow'!Q20</f>
        <v>0.14</v>
      </c>
      <c r="M14" s="242" t="n">
        <f aca="false">IF(L14="",0,L14*C14)</f>
        <v>0.14</v>
      </c>
      <c r="N14" s="232"/>
      <c r="Q14" s="243"/>
    </row>
    <row r="15" customFormat="false" ht="15" hidden="false" customHeight="false" outlineLevel="0" collapsed="false">
      <c r="A15" s="226"/>
      <c r="B15" s="236" t="n">
        <v>9</v>
      </c>
      <c r="C15" s="237" t="n">
        <f aca="false">1*(B15&lt;=PPA_duration)</f>
        <v>1</v>
      </c>
      <c r="D15" s="238" t="n">
        <f aca="false">1/(1+$D$3)^(B15)*(B15&lt;=PPA_duration)</f>
        <v>0.360610024981579</v>
      </c>
      <c r="E15" s="239" t="n">
        <v>1</v>
      </c>
      <c r="F15" s="239"/>
      <c r="G15" s="240"/>
      <c r="H15" s="241"/>
      <c r="I15" s="241"/>
      <c r="J15" s="241"/>
      <c r="K15" s="241"/>
      <c r="L15" s="115" t="n">
        <f aca="false">'Cash Flow'!R20</f>
        <v>0.14</v>
      </c>
      <c r="M15" s="242" t="n">
        <f aca="false">IF(L15="",0,L15*C15)</f>
        <v>0.14</v>
      </c>
      <c r="N15" s="232"/>
      <c r="Q15" s="243"/>
    </row>
    <row r="16" customFormat="false" ht="15" hidden="false" customHeight="false" outlineLevel="0" collapsed="false">
      <c r="A16" s="226"/>
      <c r="B16" s="236" t="n">
        <v>10</v>
      </c>
      <c r="C16" s="237" t="n">
        <f aca="false">1*(B16&lt;=PPA_duration)</f>
        <v>1</v>
      </c>
      <c r="D16" s="238" t="n">
        <f aca="false">1/(1+$D$3)^(B16)*(B16&lt;=PPA_duration)</f>
        <v>0.321973236590696</v>
      </c>
      <c r="E16" s="239" t="n">
        <v>1</v>
      </c>
      <c r="F16" s="239"/>
      <c r="G16" s="240"/>
      <c r="H16" s="241"/>
      <c r="I16" s="241"/>
      <c r="J16" s="241"/>
      <c r="K16" s="241"/>
      <c r="L16" s="115" t="n">
        <f aca="false">'Cash Flow'!S20</f>
        <v>0.14</v>
      </c>
      <c r="M16" s="242" t="n">
        <f aca="false">IF(L16="",0,L16*C16)</f>
        <v>0.14</v>
      </c>
      <c r="N16" s="232"/>
      <c r="Q16" s="243"/>
    </row>
    <row r="17" customFormat="false" ht="15" hidden="false" customHeight="false" outlineLevel="0" collapsed="false">
      <c r="A17" s="226"/>
      <c r="B17" s="236" t="n">
        <v>11</v>
      </c>
      <c r="C17" s="237" t="n">
        <f aca="false">1*(B17&lt;=PPA_duration)</f>
        <v>1</v>
      </c>
      <c r="D17" s="238" t="n">
        <f aca="false">1/(1+$D$3)^(B17)*(B17&lt;=PPA_duration)</f>
        <v>0.287476104098836</v>
      </c>
      <c r="E17" s="239" t="n">
        <v>1</v>
      </c>
      <c r="F17" s="239"/>
      <c r="G17" s="240"/>
      <c r="H17" s="241"/>
      <c r="I17" s="241"/>
      <c r="J17" s="241"/>
      <c r="K17" s="241"/>
      <c r="L17" s="115" t="n">
        <f aca="false">'Cash Flow'!T20</f>
        <v>0.14</v>
      </c>
      <c r="M17" s="242" t="n">
        <f aca="false">IF(L17="",0,L17*C17)</f>
        <v>0.14</v>
      </c>
      <c r="N17" s="232"/>
      <c r="Q17" s="243"/>
    </row>
    <row r="18" customFormat="false" ht="15" hidden="false" customHeight="false" outlineLevel="0" collapsed="false">
      <c r="A18" s="226"/>
      <c r="B18" s="236" t="n">
        <v>12</v>
      </c>
      <c r="C18" s="237" t="n">
        <f aca="false">1*(B18&lt;=PPA_duration)</f>
        <v>1</v>
      </c>
      <c r="D18" s="238" t="n">
        <f aca="false">1/(1+$D$3)^(B18)*(B18&lt;=PPA_duration)</f>
        <v>0.256675092945389</v>
      </c>
      <c r="E18" s="239" t="n">
        <v>1</v>
      </c>
      <c r="F18" s="239"/>
      <c r="G18" s="240"/>
      <c r="H18" s="241"/>
      <c r="I18" s="241"/>
      <c r="J18" s="241"/>
      <c r="K18" s="241"/>
      <c r="L18" s="115" t="n">
        <f aca="false">'Cash Flow'!U20</f>
        <v>0.14</v>
      </c>
      <c r="M18" s="242" t="n">
        <f aca="false">IF(L18="",0,L18*C18)</f>
        <v>0.14</v>
      </c>
      <c r="N18" s="232"/>
      <c r="Q18" s="243"/>
    </row>
    <row r="19" customFormat="false" ht="15" hidden="false" customHeight="false" outlineLevel="0" collapsed="false">
      <c r="A19" s="226"/>
      <c r="B19" s="236" t="n">
        <v>13</v>
      </c>
      <c r="C19" s="237" t="n">
        <f aca="false">1*(B19&lt;=PPA_duration)</f>
        <v>1</v>
      </c>
      <c r="D19" s="238" t="n">
        <f aca="false">1/(1+$D$3)^(B19)*(B19&lt;=PPA_duration)</f>
        <v>0.229174190129811</v>
      </c>
      <c r="E19" s="239" t="n">
        <v>1</v>
      </c>
      <c r="F19" s="239"/>
      <c r="G19" s="240"/>
      <c r="H19" s="241"/>
      <c r="I19" s="241"/>
      <c r="J19" s="241"/>
      <c r="K19" s="241"/>
      <c r="L19" s="115" t="n">
        <f aca="false">'Cash Flow'!V20</f>
        <v>0.14</v>
      </c>
      <c r="M19" s="242" t="n">
        <f aca="false">IF(L19="",0,L19*C19)</f>
        <v>0.14</v>
      </c>
      <c r="N19" s="232"/>
      <c r="Q19" s="243"/>
    </row>
    <row r="20" customFormat="false" ht="15" hidden="false" customHeight="false" outlineLevel="0" collapsed="false">
      <c r="A20" s="226"/>
      <c r="B20" s="236" t="n">
        <v>14</v>
      </c>
      <c r="C20" s="237" t="n">
        <f aca="false">1*(B20&lt;=PPA_duration)</f>
        <v>1</v>
      </c>
      <c r="D20" s="238" t="n">
        <f aca="false">1/(1+$D$3)^(B20)*(B20&lt;=PPA_duration)</f>
        <v>0.204619812615903</v>
      </c>
      <c r="E20" s="239" t="n">
        <v>1</v>
      </c>
      <c r="F20" s="239"/>
      <c r="G20" s="240"/>
      <c r="H20" s="241"/>
      <c r="I20" s="241"/>
      <c r="J20" s="241"/>
      <c r="K20" s="241"/>
      <c r="L20" s="115" t="n">
        <f aca="false">'Cash Flow'!W20</f>
        <v>0.14</v>
      </c>
      <c r="M20" s="242" t="n">
        <f aca="false">IF(L20="",0,L20*C20)</f>
        <v>0.14</v>
      </c>
      <c r="N20" s="232"/>
      <c r="Q20" s="243"/>
    </row>
    <row r="21" customFormat="false" ht="15" hidden="false" customHeight="false" outlineLevel="0" collapsed="false">
      <c r="A21" s="226"/>
      <c r="B21" s="236" t="n">
        <v>15</v>
      </c>
      <c r="C21" s="237" t="n">
        <f aca="false">1*(B21&lt;=PPA_duration)</f>
        <v>1</v>
      </c>
      <c r="D21" s="238" t="n">
        <f aca="false">1/(1+$D$3)^(B21)*(B21&lt;=PPA_duration)</f>
        <v>0.182696261264199</v>
      </c>
      <c r="E21" s="239" t="n">
        <v>1</v>
      </c>
      <c r="F21" s="239"/>
      <c r="G21" s="240"/>
      <c r="H21" s="241"/>
      <c r="I21" s="241"/>
      <c r="J21" s="241"/>
      <c r="K21" s="241"/>
      <c r="L21" s="115" t="n">
        <f aca="false">'Cash Flow'!X20</f>
        <v>0.14</v>
      </c>
      <c r="M21" s="242" t="n">
        <f aca="false">IF(L21="",0,L21*C21)</f>
        <v>0.14</v>
      </c>
      <c r="N21" s="232"/>
      <c r="Q21" s="243"/>
    </row>
    <row r="22" customFormat="false" ht="15" hidden="false" customHeight="false" outlineLevel="0" collapsed="false">
      <c r="A22" s="244"/>
      <c r="B22" s="245" t="n">
        <v>16</v>
      </c>
      <c r="C22" s="237" t="n">
        <f aca="false">1*(B22&lt;=PPA_duration)</f>
        <v>1</v>
      </c>
      <c r="D22" s="238" t="n">
        <f aca="false">1/(1+$D$3)^(B22)*(B22&lt;=PPA_duration)</f>
        <v>0.163121661843035</v>
      </c>
      <c r="E22" s="246" t="n">
        <v>1</v>
      </c>
      <c r="F22" s="246"/>
      <c r="G22" s="247"/>
      <c r="H22" s="241"/>
      <c r="I22" s="248"/>
      <c r="J22" s="241"/>
      <c r="K22" s="248"/>
      <c r="L22" s="115" t="n">
        <f aca="false">'Cash Flow'!Y20</f>
        <v>0.14</v>
      </c>
      <c r="M22" s="242" t="n">
        <f aca="false">IF(L22="",0,L22*C22)</f>
        <v>0.14</v>
      </c>
      <c r="N22" s="232"/>
      <c r="Q22" s="243"/>
    </row>
    <row r="23" customFormat="false" ht="15" hidden="false" customHeight="false" outlineLevel="0" collapsed="false">
      <c r="A23" s="226"/>
      <c r="B23" s="236" t="n">
        <v>17</v>
      </c>
      <c r="C23" s="237" t="n">
        <f aca="false">1*(B23&lt;=PPA_duration)</f>
        <v>1</v>
      </c>
      <c r="D23" s="238" t="n">
        <f aca="false">1/(1+$D$3)^(B23)*(B23&lt;=PPA_duration)</f>
        <v>0.145644340931281</v>
      </c>
      <c r="E23" s="239" t="n">
        <v>1</v>
      </c>
      <c r="F23" s="239"/>
      <c r="G23" s="240"/>
      <c r="H23" s="241"/>
      <c r="I23" s="241"/>
      <c r="J23" s="241"/>
      <c r="K23" s="241"/>
      <c r="L23" s="115" t="n">
        <f aca="false">'Cash Flow'!Z20</f>
        <v>0.14</v>
      </c>
      <c r="M23" s="242" t="n">
        <f aca="false">IF(L23="",0,L23*C23)</f>
        <v>0.14</v>
      </c>
      <c r="N23" s="232"/>
      <c r="Q23" s="243"/>
    </row>
    <row r="24" customFormat="false" ht="15" hidden="false" customHeight="false" outlineLevel="0" collapsed="false">
      <c r="A24" s="226"/>
      <c r="B24" s="236" t="n">
        <v>18</v>
      </c>
      <c r="C24" s="237" t="n">
        <f aca="false">1*(B24&lt;=PPA_duration)</f>
        <v>1</v>
      </c>
      <c r="D24" s="238" t="n">
        <f aca="false">1/(1+$D$3)^(B24)*(B24&lt;=PPA_duration)</f>
        <v>0.130039590117215</v>
      </c>
      <c r="E24" s="239" t="n">
        <v>1</v>
      </c>
      <c r="F24" s="239"/>
      <c r="G24" s="240"/>
      <c r="H24" s="241"/>
      <c r="I24" s="241"/>
      <c r="J24" s="241"/>
      <c r="K24" s="241"/>
      <c r="L24" s="115" t="n">
        <f aca="false">'Cash Flow'!AA20</f>
        <v>0.14</v>
      </c>
      <c r="M24" s="242" t="n">
        <f aca="false">IF(L24="",0,L24*C24)</f>
        <v>0.14</v>
      </c>
      <c r="N24" s="232"/>
      <c r="Q24" s="243"/>
    </row>
    <row r="25" customFormat="false" ht="15" hidden="false" customHeight="false" outlineLevel="0" collapsed="false">
      <c r="A25" s="226"/>
      <c r="B25" s="236" t="n">
        <v>19</v>
      </c>
      <c r="C25" s="237" t="n">
        <f aca="false">1*(B25&lt;=PPA_duration)</f>
        <v>1</v>
      </c>
      <c r="D25" s="238" t="n">
        <f aca="false">1/(1+$D$3)^(B25)*(B25&lt;=PPA_duration)</f>
        <v>0.116106776890371</v>
      </c>
      <c r="E25" s="239" t="n">
        <v>1</v>
      </c>
      <c r="F25" s="239"/>
      <c r="G25" s="240"/>
      <c r="H25" s="241"/>
      <c r="I25" s="241"/>
      <c r="J25" s="241"/>
      <c r="K25" s="241"/>
      <c r="L25" s="115" t="n">
        <f aca="false">'Cash Flow'!AB20</f>
        <v>0.14</v>
      </c>
      <c r="M25" s="242" t="n">
        <f aca="false">IF(L25="",0,L25*C25)</f>
        <v>0.14</v>
      </c>
      <c r="N25" s="232"/>
      <c r="Q25" s="243"/>
    </row>
    <row r="26" customFormat="false" ht="15" hidden="false" customHeight="false" outlineLevel="0" collapsed="false">
      <c r="A26" s="226"/>
      <c r="B26" s="236" t="n">
        <v>20</v>
      </c>
      <c r="C26" s="237" t="n">
        <f aca="false">1*(B26&lt;=PPA_duration)</f>
        <v>1</v>
      </c>
      <c r="D26" s="238" t="n">
        <f aca="false">1/(1+$D$3)^(B26)*(B26&lt;=PPA_duration)</f>
        <v>0.103666765080688</v>
      </c>
      <c r="E26" s="239" t="n">
        <v>1</v>
      </c>
      <c r="F26" s="239"/>
      <c r="G26" s="240"/>
      <c r="H26" s="241"/>
      <c r="I26" s="241"/>
      <c r="J26" s="241"/>
      <c r="K26" s="241"/>
      <c r="L26" s="115" t="n">
        <f aca="false">'Cash Flow'!AC20</f>
        <v>0.14</v>
      </c>
      <c r="M26" s="242" t="n">
        <f aca="false">IF(L26="",0,L26*C26)</f>
        <v>0.14</v>
      </c>
      <c r="N26" s="232"/>
      <c r="Q26" s="243"/>
    </row>
    <row r="27" customFormat="false" ht="15" hidden="false" customHeight="false" outlineLevel="0" collapsed="false">
      <c r="A27" s="226"/>
      <c r="B27" s="236" t="n">
        <v>21</v>
      </c>
      <c r="C27" s="237" t="n">
        <f aca="false">1*(B27&lt;=PPA_duration)</f>
        <v>0</v>
      </c>
      <c r="D27" s="238" t="n">
        <f aca="false">1/(1+$D$3)^(B27)*(B27&lt;=PPA_duration)</f>
        <v>0</v>
      </c>
      <c r="E27" s="239" t="n">
        <v>1</v>
      </c>
      <c r="F27" s="239"/>
      <c r="G27" s="240"/>
      <c r="H27" s="241"/>
      <c r="I27" s="241"/>
      <c r="J27" s="241"/>
      <c r="K27" s="241"/>
      <c r="L27" s="115" t="str">
        <f aca="false">'Cash Flow'!AD20</f>
        <v/>
      </c>
      <c r="M27" s="242" t="n">
        <f aca="false">IF(L27="",0,L27*C27)</f>
        <v>0</v>
      </c>
      <c r="N27" s="232"/>
      <c r="Q27" s="243"/>
    </row>
    <row r="28" customFormat="false" ht="15" hidden="false" customHeight="false" outlineLevel="0" collapsed="false">
      <c r="A28" s="226"/>
      <c r="B28" s="236" t="n">
        <v>22</v>
      </c>
      <c r="C28" s="237" t="n">
        <f aca="false">1*(B28&lt;=PPA_duration)</f>
        <v>0</v>
      </c>
      <c r="D28" s="238" t="n">
        <f aca="false">1/(1+$D$3)^(B28)*(B28&lt;=PPA_duration)</f>
        <v>0</v>
      </c>
      <c r="E28" s="239" t="n">
        <v>1</v>
      </c>
      <c r="F28" s="239"/>
      <c r="G28" s="240"/>
      <c r="H28" s="241"/>
      <c r="I28" s="241"/>
      <c r="J28" s="241"/>
      <c r="K28" s="241"/>
      <c r="L28" s="115" t="str">
        <f aca="false">'Cash Flow'!AE20</f>
        <v/>
      </c>
      <c r="M28" s="242" t="n">
        <f aca="false">IF(L28="",0,L28*C28)</f>
        <v>0</v>
      </c>
      <c r="N28" s="232"/>
      <c r="Q28" s="243"/>
    </row>
    <row r="29" customFormat="false" ht="15" hidden="false" customHeight="false" outlineLevel="0" collapsed="false">
      <c r="A29" s="226"/>
      <c r="B29" s="236" t="n">
        <v>23</v>
      </c>
      <c r="C29" s="237" t="n">
        <f aca="false">1*(B29&lt;=PPA_duration)</f>
        <v>0</v>
      </c>
      <c r="D29" s="238" t="n">
        <f aca="false">1/(1+$D$3)^(B29)*(B29&lt;=PPA_duration)</f>
        <v>0</v>
      </c>
      <c r="E29" s="239" t="n">
        <v>1</v>
      </c>
      <c r="F29" s="239"/>
      <c r="G29" s="240"/>
      <c r="H29" s="241"/>
      <c r="I29" s="241"/>
      <c r="J29" s="241"/>
      <c r="K29" s="241"/>
      <c r="L29" s="115" t="str">
        <f aca="false">'Cash Flow'!AF20</f>
        <v/>
      </c>
      <c r="M29" s="242" t="n">
        <f aca="false">IF(L29="",0,L29*C29)</f>
        <v>0</v>
      </c>
      <c r="N29" s="232"/>
      <c r="Q29" s="243"/>
    </row>
    <row r="30" customFormat="false" ht="15" hidden="false" customHeight="false" outlineLevel="0" collapsed="false">
      <c r="A30" s="226"/>
      <c r="B30" s="236" t="n">
        <v>24</v>
      </c>
      <c r="C30" s="237" t="n">
        <f aca="false">1*(B30&lt;=PPA_duration)</f>
        <v>0</v>
      </c>
      <c r="D30" s="238" t="n">
        <f aca="false">1/(1+$D$3)^(B30)*(B30&lt;=PPA_duration)</f>
        <v>0</v>
      </c>
      <c r="E30" s="239" t="n">
        <v>1</v>
      </c>
      <c r="F30" s="239"/>
      <c r="G30" s="240"/>
      <c r="H30" s="241"/>
      <c r="I30" s="241"/>
      <c r="J30" s="241"/>
      <c r="K30" s="241"/>
      <c r="L30" s="115" t="str">
        <f aca="false">'Cash Flow'!AG20</f>
        <v/>
      </c>
      <c r="M30" s="242" t="n">
        <f aca="false">IF(L30="",0,L30*C30)</f>
        <v>0</v>
      </c>
      <c r="N30" s="232"/>
      <c r="Q30" s="243"/>
    </row>
    <row r="31" customFormat="false" ht="15" hidden="false" customHeight="false" outlineLevel="0" collapsed="false">
      <c r="A31" s="226"/>
      <c r="B31" s="236" t="n">
        <v>25</v>
      </c>
      <c r="C31" s="237" t="n">
        <f aca="false">1*(B31&lt;=PPA_duration)</f>
        <v>0</v>
      </c>
      <c r="D31" s="238" t="n">
        <f aca="false">1/(1+$D$3)^(B31)*(B31&lt;=PPA_duration)</f>
        <v>0</v>
      </c>
      <c r="E31" s="239" t="n">
        <v>1</v>
      </c>
      <c r="F31" s="239"/>
      <c r="G31" s="240"/>
      <c r="H31" s="241"/>
      <c r="I31" s="241"/>
      <c r="J31" s="241"/>
      <c r="K31" s="241"/>
      <c r="L31" s="115" t="str">
        <f aca="false">'Cash Flow'!AH20</f>
        <v/>
      </c>
      <c r="M31" s="242" t="n">
        <f aca="false">IF(L31="",0,L31*C31)</f>
        <v>0</v>
      </c>
      <c r="N31" s="232"/>
      <c r="Q31" s="243"/>
    </row>
    <row r="32" customFormat="false" ht="15" hidden="false" customHeight="false" outlineLevel="0" collapsed="false">
      <c r="A32" s="226"/>
      <c r="B32" s="236" t="n">
        <v>26</v>
      </c>
      <c r="C32" s="249"/>
      <c r="D32" s="238"/>
      <c r="E32" s="239"/>
      <c r="F32" s="239"/>
      <c r="G32" s="240"/>
      <c r="H32" s="241"/>
      <c r="I32" s="241"/>
      <c r="J32" s="241"/>
      <c r="K32" s="241"/>
      <c r="L32" s="0" t="str">
        <f aca="false">'Cash Flow'!AI20</f>
        <v/>
      </c>
      <c r="M32" s="242" t="n">
        <f aca="false">IF(L32="",0,L32*C32)</f>
        <v>0</v>
      </c>
      <c r="N32" s="232"/>
      <c r="Q32" s="243"/>
    </row>
    <row r="33" customFormat="false" ht="15" hidden="false" customHeight="false" outlineLevel="0" collapsed="false">
      <c r="A33" s="226"/>
      <c r="B33" s="236" t="n">
        <v>27</v>
      </c>
      <c r="C33" s="249"/>
      <c r="D33" s="238"/>
      <c r="E33" s="239"/>
      <c r="F33" s="239"/>
      <c r="G33" s="240"/>
      <c r="H33" s="241"/>
      <c r="I33" s="241"/>
      <c r="J33" s="241"/>
      <c r="K33" s="241"/>
      <c r="L33" s="0" t="str">
        <f aca="false">'Cash Flow'!AJ20</f>
        <v/>
      </c>
      <c r="M33" s="242" t="n">
        <f aca="false">IF(L33="",0,L33*C33)</f>
        <v>0</v>
      </c>
      <c r="N33" s="232"/>
      <c r="Q33" s="243"/>
    </row>
    <row r="34" customFormat="false" ht="15" hidden="false" customHeight="false" outlineLevel="0" collapsed="false">
      <c r="A34" s="226"/>
      <c r="B34" s="236" t="n">
        <v>28</v>
      </c>
      <c r="C34" s="249"/>
      <c r="D34" s="238"/>
      <c r="E34" s="239"/>
      <c r="F34" s="239"/>
      <c r="G34" s="240"/>
      <c r="H34" s="241"/>
      <c r="I34" s="241"/>
      <c r="J34" s="241"/>
      <c r="K34" s="241"/>
      <c r="L34" s="0" t="str">
        <f aca="false">'Cash Flow'!AK20</f>
        <v/>
      </c>
      <c r="M34" s="242" t="n">
        <f aca="false">IF(L34="",0,L34*C34)</f>
        <v>0</v>
      </c>
      <c r="N34" s="232"/>
      <c r="Q34" s="243"/>
    </row>
    <row r="35" customFormat="false" ht="15" hidden="false" customHeight="false" outlineLevel="0" collapsed="false">
      <c r="A35" s="226"/>
      <c r="B35" s="236" t="n">
        <v>29</v>
      </c>
      <c r="C35" s="249"/>
      <c r="D35" s="238"/>
      <c r="E35" s="239"/>
      <c r="F35" s="239"/>
      <c r="G35" s="240"/>
      <c r="H35" s="241"/>
      <c r="I35" s="241"/>
      <c r="J35" s="241"/>
      <c r="K35" s="241"/>
      <c r="L35" s="0" t="str">
        <f aca="false">'Cash Flow'!AL20</f>
        <v/>
      </c>
      <c r="M35" s="242" t="n">
        <f aca="false">IF(L35="",0,L35*C35)</f>
        <v>0</v>
      </c>
      <c r="N35" s="232"/>
      <c r="Q35" s="243"/>
    </row>
    <row r="36" customFormat="false" ht="15" hidden="false" customHeight="false" outlineLevel="0" collapsed="false">
      <c r="A36" s="226"/>
      <c r="B36" s="236" t="n">
        <v>30</v>
      </c>
      <c r="C36" s="249"/>
      <c r="D36" s="238"/>
      <c r="E36" s="239"/>
      <c r="F36" s="239"/>
      <c r="G36" s="240"/>
      <c r="H36" s="241"/>
      <c r="I36" s="241"/>
      <c r="J36" s="241"/>
      <c r="K36" s="241"/>
      <c r="L36" s="238"/>
      <c r="M36" s="242" t="n">
        <f aca="false">L36*C36</f>
        <v>0</v>
      </c>
      <c r="N36" s="232"/>
    </row>
    <row r="37" customFormat="false" ht="15.75" hidden="false" customHeight="false" outlineLevel="0" collapsed="false">
      <c r="A37" s="226"/>
      <c r="B37" s="250"/>
      <c r="C37" s="251"/>
      <c r="D37" s="251"/>
      <c r="E37" s="251"/>
      <c r="F37" s="251"/>
      <c r="G37" s="252"/>
      <c r="H37" s="252"/>
      <c r="I37" s="252"/>
      <c r="J37" s="252"/>
      <c r="K37" s="252"/>
      <c r="L37" s="250"/>
      <c r="M37" s="250"/>
      <c r="N37" s="232"/>
    </row>
    <row r="38" customFormat="false" ht="15" hidden="false" customHeight="false" outlineLevel="0" collapsed="false">
      <c r="A38" s="226"/>
      <c r="B38" s="253" t="s">
        <v>505</v>
      </c>
      <c r="C38" s="254" t="n">
        <f aca="false">NPV($D$3,C7:C31)</f>
        <v>7.46944362432759</v>
      </c>
      <c r="D38" s="254" t="n">
        <f aca="false">SUM(D7:D31)</f>
        <v>7.46944362432759</v>
      </c>
      <c r="E38" s="255"/>
      <c r="F38" s="179"/>
      <c r="G38" s="256"/>
      <c r="H38" s="256"/>
      <c r="I38" s="256"/>
      <c r="J38" s="256"/>
      <c r="K38" s="256"/>
      <c r="L38" s="257" t="n">
        <f aca="false">NPV($D$3,L7:L31)</f>
        <v>1.04572210740586</v>
      </c>
      <c r="M38" s="241" t="n">
        <f aca="false">NPV($D$3,M7:M31)</f>
        <v>1.04572210740586</v>
      </c>
      <c r="N38" s="232"/>
    </row>
    <row r="39" customFormat="false" ht="15" hidden="false" customHeight="false" outlineLevel="0" collapsed="false">
      <c r="A39" s="226"/>
      <c r="B39" s="258"/>
      <c r="C39" s="255"/>
      <c r="D39" s="255"/>
      <c r="E39" s="255"/>
      <c r="F39" s="179"/>
      <c r="G39" s="256"/>
      <c r="H39" s="256"/>
      <c r="I39" s="256"/>
      <c r="J39" s="256"/>
      <c r="K39" s="256"/>
      <c r="L39" s="256"/>
      <c r="M39" s="255"/>
      <c r="N39" s="232"/>
    </row>
    <row r="40" customFormat="false" ht="15.75" hidden="false" customHeight="false" outlineLevel="0" collapsed="false">
      <c r="A40" s="226"/>
      <c r="B40" s="179"/>
      <c r="C40" s="179"/>
      <c r="D40" s="179"/>
      <c r="E40" s="179"/>
      <c r="F40" s="179"/>
      <c r="G40" s="179"/>
      <c r="H40" s="179"/>
      <c r="I40" s="179"/>
      <c r="J40" s="179"/>
      <c r="K40" s="179"/>
      <c r="L40" s="179"/>
      <c r="M40" s="179"/>
      <c r="N40" s="232"/>
    </row>
    <row r="41" customFormat="false" ht="15" hidden="false" customHeight="false" outlineLevel="0" collapsed="false">
      <c r="A41" s="226"/>
      <c r="B41" s="179"/>
      <c r="C41" s="179"/>
      <c r="D41" s="179"/>
      <c r="E41" s="179"/>
      <c r="F41" s="179"/>
      <c r="G41" s="179"/>
      <c r="H41" s="179"/>
      <c r="I41" s="179"/>
      <c r="J41" s="259" t="s">
        <v>58</v>
      </c>
      <c r="K41" s="260"/>
      <c r="L41" s="261" t="s">
        <v>506</v>
      </c>
      <c r="M41" s="262" t="n">
        <f aca="false">(M38/C38)*100</f>
        <v>14</v>
      </c>
      <c r="N41" s="232"/>
      <c r="O41" s="263"/>
    </row>
    <row r="42" customFormat="false" ht="15.75" hidden="false" customHeight="false" outlineLevel="0" collapsed="false">
      <c r="A42" s="226"/>
      <c r="B42" s="179"/>
      <c r="C42" s="179"/>
      <c r="D42" s="179"/>
      <c r="E42" s="179"/>
      <c r="F42" s="179"/>
      <c r="G42" s="179"/>
      <c r="H42" s="179"/>
      <c r="I42" s="179"/>
      <c r="J42" s="264" t="s">
        <v>507</v>
      </c>
      <c r="K42" s="252"/>
      <c r="L42" s="265" t="s">
        <v>506</v>
      </c>
      <c r="M42" s="266" t="n">
        <f aca="false">100*L38*(Tariff_Discount*(1+Tariff_Discount)^PPA_duration)/((1+Tariff_Discount)^PPA_duration-1)</f>
        <v>14</v>
      </c>
      <c r="N42" s="232"/>
    </row>
  </sheetData>
  <mergeCells count="7">
    <mergeCell ref="B4:B5"/>
    <mergeCell ref="C4:C5"/>
    <mergeCell ref="D4:D5"/>
    <mergeCell ref="E4:E5"/>
    <mergeCell ref="F4:F5"/>
    <mergeCell ref="G4:L4"/>
    <mergeCell ref="M4:M5"/>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2015-12-01T06:25:50Z</dcterms:created>
  <dc:creator>Benny</dc:creator>
  <dc:description/>
  <dc:language>en-US</dc:language>
  <cp:lastModifiedBy/>
  <cp:lastPrinted>2016-03-17T10:47:37Z</cp:lastPrinted>
  <dcterms:modified xsi:type="dcterms:W3CDTF">2018-08-20T12:44:36Z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